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24.xml" ContentType="application/vnd.openxmlformats-officedocument.drawing+xml"/>
  <Override PartName="/xl/comments24.xml" ContentType="application/vnd.openxmlformats-officedocument.spreadsheetml.comments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omments25.xml" ContentType="application/vnd.openxmlformats-officedocument.spreadsheetml.comments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6.xml" ContentType="application/vnd.openxmlformats-officedocument.drawing+xml"/>
  <Override PartName="/xl/comments26.xml" ContentType="application/vnd.openxmlformats-officedocument.spreadsheetml.comments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7.xml" ContentType="application/vnd.openxmlformats-officedocument.drawing+xml"/>
  <Override PartName="/xl/comments27.xml" ContentType="application/vnd.openxmlformats-officedocument.spreadsheetml.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28.xml" ContentType="application/vnd.openxmlformats-officedocument.drawing+xml"/>
  <Override PartName="/xl/comments28.xml" ContentType="application/vnd.openxmlformats-officedocument.spreadsheetml.comments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29.xml" ContentType="application/vnd.openxmlformats-officedocument.drawing+xml"/>
  <Override PartName="/xl/comments29.xml" ContentType="application/vnd.openxmlformats-officedocument.spreadsheetml.comments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30.xml" ContentType="application/vnd.openxmlformats-officedocument.drawing+xml"/>
  <Override PartName="/xl/comments30.xml" ContentType="application/vnd.openxmlformats-officedocument.spreadsheetml.comments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31.xml" ContentType="application/vnd.openxmlformats-officedocument.drawing+xml"/>
  <Override PartName="/xl/comments31.xml" ContentType="application/vnd.openxmlformats-officedocument.spreadsheetml.comments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32.xml" ContentType="application/vnd.openxmlformats-officedocument.drawing+xml"/>
  <Override PartName="/xl/comments32.xml" ContentType="application/vnd.openxmlformats-officedocument.spreadsheetml.comment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3.xml" ContentType="application/vnd.openxmlformats-officedocument.drawing+xml"/>
  <Override PartName="/xl/comments33.xml" ContentType="application/vnd.openxmlformats-officedocument.spreadsheetml.comment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0 Data_Collection 75\Daily_Log_Sheets\Log Sheet 2080\"/>
    </mc:Choice>
  </mc:AlternateContent>
  <xr:revisionPtr revIDLastSave="0" documentId="13_ncr:1_{C26B42D4-4E43-4CF5-AEDC-37304DF17DF7}" xr6:coauthVersionLast="47" xr6:coauthVersionMax="47" xr10:uidLastSave="{00000000-0000-0000-0000-000000000000}"/>
  <bookViews>
    <workbookView xWindow="-120" yWindow="-120" windowWidth="29040" windowHeight="15720" firstSheet="15" activeTab="15" xr2:uid="{340AB4D8-7F14-4FE9-ABA7-1C738A10E42C}"/>
  </bookViews>
  <sheets>
    <sheet name="0" sheetId="36" r:id="rId1"/>
    <sheet name="31" sheetId="67" r:id="rId2"/>
    <sheet name="01" sheetId="68" r:id="rId3"/>
    <sheet name="02" sheetId="69" r:id="rId4"/>
    <sheet name="03" sheetId="70" r:id="rId5"/>
    <sheet name="04" sheetId="71" r:id="rId6"/>
    <sheet name="05" sheetId="72" r:id="rId7"/>
    <sheet name="06" sheetId="73" r:id="rId8"/>
    <sheet name="07" sheetId="74" r:id="rId9"/>
    <sheet name="08" sheetId="75" r:id="rId10"/>
    <sheet name="09" sheetId="76" r:id="rId11"/>
    <sheet name="10" sheetId="77" r:id="rId12"/>
    <sheet name="11" sheetId="78" r:id="rId13"/>
    <sheet name="12" sheetId="79" r:id="rId14"/>
    <sheet name="13" sheetId="80" r:id="rId15"/>
    <sheet name="14" sheetId="81" r:id="rId16"/>
    <sheet name="15" sheetId="82" r:id="rId17"/>
    <sheet name="16" sheetId="83" r:id="rId18"/>
    <sheet name="17" sheetId="84" r:id="rId19"/>
    <sheet name="18" sheetId="85" r:id="rId20"/>
    <sheet name="19" sheetId="86" r:id="rId21"/>
    <sheet name="20" sheetId="88" r:id="rId22"/>
    <sheet name="21" sheetId="89" r:id="rId23"/>
    <sheet name="22" sheetId="90" r:id="rId24"/>
    <sheet name="23" sheetId="91" r:id="rId25"/>
    <sheet name="24" sheetId="92" r:id="rId26"/>
    <sheet name="25" sheetId="93" r:id="rId27"/>
    <sheet name="26" sheetId="94" r:id="rId28"/>
    <sheet name="27" sheetId="95" r:id="rId29"/>
    <sheet name="28" sheetId="96" r:id="rId30"/>
    <sheet name="29" sheetId="97" r:id="rId31"/>
    <sheet name="30" sheetId="98" r:id="rId32"/>
    <sheet name="sample" sheetId="6" r:id="rId33"/>
    <sheet name="Sheet1" sheetId="3" r:id="rId34"/>
    <sheet name="phcal" sheetId="14" r:id="rId35"/>
    <sheet name="Sheet2" sheetId="87" r:id="rId36"/>
  </sheets>
  <externalReferences>
    <externalReference r:id="rId37"/>
  </externalReferences>
  <definedNames>
    <definedName name="IPP" localSheetId="0">#REF!</definedName>
    <definedName name="IPP" localSheetId="2">#REF!</definedName>
    <definedName name="IPP" localSheetId="3">#REF!</definedName>
    <definedName name="IPP" localSheetId="4">#REF!</definedName>
    <definedName name="IPP" localSheetId="5">#REF!</definedName>
    <definedName name="IPP" localSheetId="6">#REF!</definedName>
    <definedName name="IPP" localSheetId="7">#REF!</definedName>
    <definedName name="IPP" localSheetId="8">#REF!</definedName>
    <definedName name="IPP" localSheetId="9">#REF!</definedName>
    <definedName name="IPP" localSheetId="10">#REF!</definedName>
    <definedName name="IPP" localSheetId="11">#REF!</definedName>
    <definedName name="IPP" localSheetId="12">#REF!</definedName>
    <definedName name="IPP" localSheetId="13">#REF!</definedName>
    <definedName name="IPP" localSheetId="14">#REF!</definedName>
    <definedName name="IPP" localSheetId="15">#REF!</definedName>
    <definedName name="IPP" localSheetId="16">#REF!</definedName>
    <definedName name="IPP" localSheetId="17">#REF!</definedName>
    <definedName name="IPP" localSheetId="18">#REF!</definedName>
    <definedName name="IPP" localSheetId="19">#REF!</definedName>
    <definedName name="IPP" localSheetId="20">#REF!</definedName>
    <definedName name="IPP" localSheetId="21">#REF!</definedName>
    <definedName name="IPP" localSheetId="22">#REF!</definedName>
    <definedName name="IPP" localSheetId="23">#REF!</definedName>
    <definedName name="IPP" localSheetId="24">#REF!</definedName>
    <definedName name="IPP" localSheetId="25">#REF!</definedName>
    <definedName name="IPP" localSheetId="26">#REF!</definedName>
    <definedName name="IPP" localSheetId="27">#REF!</definedName>
    <definedName name="IPP" localSheetId="28">#REF!</definedName>
    <definedName name="IPP" localSheetId="29">#REF!</definedName>
    <definedName name="IPP" localSheetId="30">#REF!</definedName>
    <definedName name="IPP" localSheetId="31">#REF!</definedName>
    <definedName name="IPP" localSheetId="1">#REF!</definedName>
    <definedName name="IPP" localSheetId="32">#REF!</definedName>
    <definedName name="IPP">#REF!</definedName>
    <definedName name="ippp" localSheetId="0">#REF!</definedName>
    <definedName name="ippp" localSheetId="2">#REF!</definedName>
    <definedName name="ippp" localSheetId="3">#REF!</definedName>
    <definedName name="ippp" localSheetId="4">#REF!</definedName>
    <definedName name="ippp" localSheetId="5">#REF!</definedName>
    <definedName name="ippp" localSheetId="6">#REF!</definedName>
    <definedName name="ippp" localSheetId="7">#REF!</definedName>
    <definedName name="ippp" localSheetId="8">#REF!</definedName>
    <definedName name="ippp" localSheetId="9">#REF!</definedName>
    <definedName name="ippp" localSheetId="10">#REF!</definedName>
    <definedName name="ippp" localSheetId="11">#REF!</definedName>
    <definedName name="ippp" localSheetId="12">#REF!</definedName>
    <definedName name="ippp" localSheetId="13">#REF!</definedName>
    <definedName name="ippp" localSheetId="14">#REF!</definedName>
    <definedName name="ippp" localSheetId="15">#REF!</definedName>
    <definedName name="ippp" localSheetId="16">#REF!</definedName>
    <definedName name="ippp" localSheetId="17">#REF!</definedName>
    <definedName name="ippp" localSheetId="18">#REF!</definedName>
    <definedName name="ippp" localSheetId="19">#REF!</definedName>
    <definedName name="ippp" localSheetId="20">#REF!</definedName>
    <definedName name="ippp" localSheetId="21">#REF!</definedName>
    <definedName name="ippp" localSheetId="22">#REF!</definedName>
    <definedName name="ippp" localSheetId="23">#REF!</definedName>
    <definedName name="ippp" localSheetId="24">#REF!</definedName>
    <definedName name="ippp" localSheetId="25">#REF!</definedName>
    <definedName name="ippp" localSheetId="26">#REF!</definedName>
    <definedName name="ippp" localSheetId="27">#REF!</definedName>
    <definedName name="ippp" localSheetId="28">#REF!</definedName>
    <definedName name="ippp" localSheetId="29">#REF!</definedName>
    <definedName name="ippp" localSheetId="30">#REF!</definedName>
    <definedName name="ippp" localSheetId="31">#REF!</definedName>
    <definedName name="ippp" localSheetId="1">#REF!</definedName>
    <definedName name="ippp" localSheetId="32">#REF!</definedName>
    <definedName name="ippp">#REF!</definedName>
    <definedName name="sdasdf" localSheetId="0">#REF!</definedName>
    <definedName name="sdasdf" localSheetId="2">#REF!</definedName>
    <definedName name="sdasdf" localSheetId="3">#REF!</definedName>
    <definedName name="sdasdf" localSheetId="4">#REF!</definedName>
    <definedName name="sdasdf" localSheetId="5">#REF!</definedName>
    <definedName name="sdasdf" localSheetId="6">#REF!</definedName>
    <definedName name="sdasdf" localSheetId="7">#REF!</definedName>
    <definedName name="sdasdf" localSheetId="8">#REF!</definedName>
    <definedName name="sdasdf" localSheetId="9">#REF!</definedName>
    <definedName name="sdasdf" localSheetId="10">#REF!</definedName>
    <definedName name="sdasdf" localSheetId="11">#REF!</definedName>
    <definedName name="sdasdf" localSheetId="12">#REF!</definedName>
    <definedName name="sdasdf" localSheetId="13">#REF!</definedName>
    <definedName name="sdasdf" localSheetId="14">#REF!</definedName>
    <definedName name="sdasdf" localSheetId="15">#REF!</definedName>
    <definedName name="sdasdf" localSheetId="16">#REF!</definedName>
    <definedName name="sdasdf" localSheetId="17">#REF!</definedName>
    <definedName name="sdasdf" localSheetId="18">#REF!</definedName>
    <definedName name="sdasdf" localSheetId="19">#REF!</definedName>
    <definedName name="sdasdf" localSheetId="20">#REF!</definedName>
    <definedName name="sdasdf" localSheetId="21">#REF!</definedName>
    <definedName name="sdasdf" localSheetId="22">#REF!</definedName>
    <definedName name="sdasdf" localSheetId="23">#REF!</definedName>
    <definedName name="sdasdf" localSheetId="24">#REF!</definedName>
    <definedName name="sdasdf" localSheetId="25">#REF!</definedName>
    <definedName name="sdasdf" localSheetId="26">#REF!</definedName>
    <definedName name="sdasdf" localSheetId="27">#REF!</definedName>
    <definedName name="sdasdf" localSheetId="28">#REF!</definedName>
    <definedName name="sdasdf" localSheetId="29">#REF!</definedName>
    <definedName name="sdasdf" localSheetId="30">#REF!</definedName>
    <definedName name="sdasdf" localSheetId="31">#REF!</definedName>
    <definedName name="sdasdf" localSheetId="1">#REF!</definedName>
    <definedName name="sdasdf" localSheetId="32">#REF!</definedName>
    <definedName name="sdasdf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13" i="98" l="1"/>
  <c r="AF113" i="98"/>
  <c r="AF49" i="98"/>
  <c r="AE49" i="98"/>
  <c r="AF50" i="98"/>
  <c r="AF54" i="98"/>
  <c r="AF68" i="98"/>
  <c r="AF72" i="98"/>
  <c r="AF84" i="98"/>
  <c r="AF100" i="98" s="1"/>
  <c r="AF99" i="98"/>
  <c r="AE50" i="98"/>
  <c r="AE54" i="98"/>
  <c r="AE68" i="98"/>
  <c r="AE72" i="98"/>
  <c r="AE84" i="98"/>
  <c r="AE100" i="98" s="1"/>
  <c r="AE99" i="98"/>
  <c r="AD113" i="98"/>
  <c r="AD49" i="98"/>
  <c r="AC113" i="98"/>
  <c r="AF89" i="98" l="1"/>
  <c r="AF91" i="98" s="1"/>
  <c r="AF92" i="98" s="1"/>
  <c r="AE89" i="98"/>
  <c r="AE91" i="98" s="1"/>
  <c r="AE92" i="98" s="1"/>
  <c r="R49" i="98" l="1"/>
  <c r="Q49" i="98" l="1"/>
  <c r="P49" i="98"/>
  <c r="O49" i="98" l="1"/>
  <c r="N49" i="98" l="1"/>
  <c r="M49" i="98"/>
  <c r="L50" i="98"/>
  <c r="L54" i="98"/>
  <c r="L68" i="98"/>
  <c r="L84" i="98"/>
  <c r="L100" i="98" s="1"/>
  <c r="L99" i="98"/>
  <c r="L110" i="98"/>
  <c r="K50" i="98"/>
  <c r="K54" i="98"/>
  <c r="K68" i="98"/>
  <c r="K84" i="98"/>
  <c r="K100" i="98" s="1"/>
  <c r="K99" i="98"/>
  <c r="K110" i="98"/>
  <c r="J50" i="98"/>
  <c r="J54" i="98"/>
  <c r="J68" i="98"/>
  <c r="J84" i="98"/>
  <c r="J100" i="98" s="1"/>
  <c r="J99" i="98"/>
  <c r="J110" i="98"/>
  <c r="I50" i="98"/>
  <c r="I54" i="98"/>
  <c r="I68" i="98"/>
  <c r="H50" i="98"/>
  <c r="H54" i="98"/>
  <c r="H68" i="98"/>
  <c r="H84" i="98"/>
  <c r="H100" i="98" s="1"/>
  <c r="H99" i="98"/>
  <c r="H110" i="98"/>
  <c r="G50" i="98"/>
  <c r="G54" i="98"/>
  <c r="G68" i="98"/>
  <c r="G84" i="98"/>
  <c r="G99" i="98"/>
  <c r="G100" i="98" s="1"/>
  <c r="G110" i="98"/>
  <c r="G227" i="98"/>
  <c r="F50" i="98"/>
  <c r="F54" i="98"/>
  <c r="F68" i="98"/>
  <c r="F84" i="98"/>
  <c r="F100" i="98" s="1"/>
  <c r="F99" i="98"/>
  <c r="F110" i="98"/>
  <c r="E50" i="98"/>
  <c r="E54" i="98"/>
  <c r="E68" i="98"/>
  <c r="E84" i="98"/>
  <c r="E100" i="98" s="1"/>
  <c r="E99" i="98"/>
  <c r="E110" i="98"/>
  <c r="D50" i="98"/>
  <c r="D54" i="98"/>
  <c r="D68" i="98"/>
  <c r="D84" i="98"/>
  <c r="D100" i="98" s="1"/>
  <c r="D99" i="98"/>
  <c r="D110" i="98"/>
  <c r="B110" i="98"/>
  <c r="B99" i="98"/>
  <c r="B84" i="98"/>
  <c r="B100" i="98" s="1"/>
  <c r="B72" i="98"/>
  <c r="B68" i="98"/>
  <c r="B54" i="98"/>
  <c r="B50" i="98"/>
  <c r="AF274" i="98"/>
  <c r="AE274" i="98"/>
  <c r="AD274" i="98"/>
  <c r="AC274" i="98"/>
  <c r="AB274" i="98"/>
  <c r="AA274" i="98"/>
  <c r="Z274" i="98"/>
  <c r="Y274" i="98"/>
  <c r="X274" i="98"/>
  <c r="W274" i="98"/>
  <c r="V274" i="98"/>
  <c r="U274" i="98"/>
  <c r="T274" i="98"/>
  <c r="S274" i="98"/>
  <c r="R274" i="98"/>
  <c r="Q274" i="98"/>
  <c r="P274" i="98"/>
  <c r="O274" i="98"/>
  <c r="N274" i="98"/>
  <c r="M274" i="98"/>
  <c r="L274" i="98"/>
  <c r="K274" i="98"/>
  <c r="J274" i="98"/>
  <c r="I274" i="98"/>
  <c r="H274" i="98"/>
  <c r="G274" i="98"/>
  <c r="F274" i="98"/>
  <c r="E274" i="98"/>
  <c r="D274" i="98"/>
  <c r="C274" i="98"/>
  <c r="B274" i="98"/>
  <c r="A274" i="98"/>
  <c r="AF273" i="98"/>
  <c r="AE273" i="98"/>
  <c r="AD273" i="98"/>
  <c r="AC273" i="98"/>
  <c r="AB273" i="98"/>
  <c r="AA273" i="98"/>
  <c r="Z273" i="98"/>
  <c r="Y273" i="98"/>
  <c r="X273" i="98"/>
  <c r="W273" i="98"/>
  <c r="V273" i="98"/>
  <c r="U273" i="98"/>
  <c r="T273" i="98"/>
  <c r="S273" i="98"/>
  <c r="R273" i="98"/>
  <c r="Q273" i="98"/>
  <c r="P273" i="98"/>
  <c r="O273" i="98"/>
  <c r="N273" i="98"/>
  <c r="M273" i="98"/>
  <c r="L273" i="98"/>
  <c r="K273" i="98"/>
  <c r="J273" i="98"/>
  <c r="I273" i="98"/>
  <c r="H273" i="98"/>
  <c r="G273" i="98"/>
  <c r="F273" i="98"/>
  <c r="E273" i="98"/>
  <c r="D273" i="98"/>
  <c r="C273" i="98"/>
  <c r="B273" i="98"/>
  <c r="A273" i="98"/>
  <c r="AF272" i="98"/>
  <c r="AE272" i="98"/>
  <c r="AD272" i="98"/>
  <c r="AC272" i="98"/>
  <c r="AB272" i="98"/>
  <c r="AA272" i="98"/>
  <c r="Z272" i="98"/>
  <c r="Y272" i="98"/>
  <c r="X272" i="98"/>
  <c r="W272" i="98"/>
  <c r="V272" i="98"/>
  <c r="U272" i="98"/>
  <c r="T272" i="98"/>
  <c r="S272" i="98"/>
  <c r="R272" i="98"/>
  <c r="Q272" i="98"/>
  <c r="P272" i="98"/>
  <c r="O272" i="98"/>
  <c r="N272" i="98"/>
  <c r="M272" i="98"/>
  <c r="L272" i="98"/>
  <c r="K272" i="98"/>
  <c r="J272" i="98"/>
  <c r="I272" i="98"/>
  <c r="H272" i="98"/>
  <c r="G272" i="98"/>
  <c r="F272" i="98"/>
  <c r="E272" i="98"/>
  <c r="D272" i="98"/>
  <c r="C272" i="98"/>
  <c r="B272" i="98"/>
  <c r="A272" i="98"/>
  <c r="AF271" i="98"/>
  <c r="AE271" i="98"/>
  <c r="AD271" i="98"/>
  <c r="AC271" i="98"/>
  <c r="AB271" i="98"/>
  <c r="AA271" i="98"/>
  <c r="Z271" i="98"/>
  <c r="Y271" i="98"/>
  <c r="X271" i="98"/>
  <c r="W271" i="98"/>
  <c r="V271" i="98"/>
  <c r="U271" i="98"/>
  <c r="T271" i="98"/>
  <c r="S271" i="98"/>
  <c r="R271" i="98"/>
  <c r="Q271" i="98"/>
  <c r="P271" i="98"/>
  <c r="O271" i="98"/>
  <c r="N271" i="98"/>
  <c r="M271" i="98"/>
  <c r="L271" i="98"/>
  <c r="K271" i="98"/>
  <c r="J271" i="98"/>
  <c r="I271" i="98"/>
  <c r="H271" i="98"/>
  <c r="G271" i="98"/>
  <c r="F271" i="98"/>
  <c r="E271" i="98"/>
  <c r="D271" i="98"/>
  <c r="C271" i="98"/>
  <c r="B271" i="98"/>
  <c r="A271" i="98"/>
  <c r="AE270" i="98"/>
  <c r="AD270" i="98"/>
  <c r="AC270" i="98"/>
  <c r="AB270" i="98"/>
  <c r="AA270" i="98"/>
  <c r="Z270" i="98"/>
  <c r="Y270" i="98"/>
  <c r="X270" i="98"/>
  <c r="W270" i="98"/>
  <c r="V270" i="98"/>
  <c r="U270" i="98"/>
  <c r="T270" i="98"/>
  <c r="S270" i="98"/>
  <c r="R270" i="98"/>
  <c r="Q270" i="98"/>
  <c r="P270" i="98"/>
  <c r="B270" i="98"/>
  <c r="S245" i="98"/>
  <c r="AG235" i="98"/>
  <c r="AF235" i="98"/>
  <c r="AE235" i="98"/>
  <c r="AD235" i="98"/>
  <c r="AC235" i="98"/>
  <c r="AB235" i="98"/>
  <c r="AA235" i="98"/>
  <c r="Z235" i="98"/>
  <c r="Y235" i="98"/>
  <c r="X235" i="98"/>
  <c r="W235" i="98"/>
  <c r="V235" i="98"/>
  <c r="U235" i="98"/>
  <c r="T235" i="98"/>
  <c r="S235" i="98"/>
  <c r="R235" i="98"/>
  <c r="Q235" i="98"/>
  <c r="C235" i="98"/>
  <c r="D234" i="98"/>
  <c r="E234" i="98" s="1"/>
  <c r="B234" i="98"/>
  <c r="AF270" i="98" s="1"/>
  <c r="D233" i="98"/>
  <c r="E233" i="98" s="1"/>
  <c r="F233" i="98" s="1"/>
  <c r="G233" i="98" s="1"/>
  <c r="H233" i="98" s="1"/>
  <c r="I233" i="98" s="1"/>
  <c r="J233" i="98" s="1"/>
  <c r="K233" i="98" s="1"/>
  <c r="L233" i="98" s="1"/>
  <c r="M233" i="98" s="1"/>
  <c r="N233" i="98" s="1"/>
  <c r="O233" i="98" s="1"/>
  <c r="P233" i="98" s="1"/>
  <c r="B233" i="98"/>
  <c r="D232" i="98"/>
  <c r="E232" i="98" s="1"/>
  <c r="F232" i="98" s="1"/>
  <c r="G232" i="98" s="1"/>
  <c r="H232" i="98" s="1"/>
  <c r="I232" i="98" s="1"/>
  <c r="B232" i="98"/>
  <c r="F231" i="98"/>
  <c r="G231" i="98" s="1"/>
  <c r="H231" i="98" s="1"/>
  <c r="E231" i="98"/>
  <c r="D231" i="98"/>
  <c r="B231" i="98"/>
  <c r="D230" i="98"/>
  <c r="E230" i="98" s="1"/>
  <c r="F230" i="98" s="1"/>
  <c r="G230" i="98" s="1"/>
  <c r="H230" i="98" s="1"/>
  <c r="I230" i="98" s="1"/>
  <c r="J230" i="98" s="1"/>
  <c r="K230" i="98" s="1"/>
  <c r="L230" i="98" s="1"/>
  <c r="M230" i="98" s="1"/>
  <c r="N230" i="98" s="1"/>
  <c r="O230" i="98" s="1"/>
  <c r="P230" i="98" s="1"/>
  <c r="B230" i="98"/>
  <c r="D229" i="98"/>
  <c r="D235" i="98" s="1"/>
  <c r="B229" i="98"/>
  <c r="AG227" i="98"/>
  <c r="AF227" i="98"/>
  <c r="AE227" i="98"/>
  <c r="AD227" i="98"/>
  <c r="AC227" i="98"/>
  <c r="AB227" i="98"/>
  <c r="AA227" i="98"/>
  <c r="Z227" i="98"/>
  <c r="Y227" i="98"/>
  <c r="X227" i="98"/>
  <c r="W227" i="98"/>
  <c r="V227" i="98"/>
  <c r="U227" i="98"/>
  <c r="T227" i="98"/>
  <c r="S227" i="98"/>
  <c r="R227" i="98"/>
  <c r="Q227" i="98"/>
  <c r="P227" i="98"/>
  <c r="O227" i="98"/>
  <c r="N227" i="98"/>
  <c r="M227" i="98"/>
  <c r="L227" i="98"/>
  <c r="K227" i="98"/>
  <c r="J227" i="98"/>
  <c r="I227" i="98"/>
  <c r="H227" i="98"/>
  <c r="F227" i="98"/>
  <c r="E227" i="98"/>
  <c r="D227" i="98"/>
  <c r="C227" i="98"/>
  <c r="B227" i="98"/>
  <c r="AI120" i="98"/>
  <c r="AH120" i="98"/>
  <c r="AI119" i="98"/>
  <c r="AH119" i="98"/>
  <c r="AI118" i="98"/>
  <c r="AH118" i="98"/>
  <c r="AI117" i="98"/>
  <c r="AH117" i="98"/>
  <c r="AI116" i="98"/>
  <c r="AH116" i="98"/>
  <c r="AI115" i="98"/>
  <c r="AH115" i="98"/>
  <c r="AI114" i="98"/>
  <c r="AH114" i="98"/>
  <c r="AI113" i="98"/>
  <c r="AH113" i="98"/>
  <c r="AI112" i="98"/>
  <c r="AH112" i="98"/>
  <c r="AI111" i="98"/>
  <c r="AH111" i="98"/>
  <c r="AF110" i="98"/>
  <c r="AC110" i="98"/>
  <c r="AB110" i="98"/>
  <c r="AA110" i="98"/>
  <c r="Z110" i="98"/>
  <c r="Y110" i="98"/>
  <c r="X110" i="98"/>
  <c r="W110" i="98"/>
  <c r="V110" i="98"/>
  <c r="U110" i="98"/>
  <c r="T110" i="98"/>
  <c r="S110" i="98"/>
  <c r="R110" i="98"/>
  <c r="Q110" i="98"/>
  <c r="C110" i="98"/>
  <c r="AI109" i="98"/>
  <c r="AH109" i="98"/>
  <c r="AI108" i="98"/>
  <c r="AH108" i="98"/>
  <c r="AI107" i="98"/>
  <c r="AH107" i="98"/>
  <c r="AI106" i="98"/>
  <c r="AH106" i="98"/>
  <c r="AI105" i="98"/>
  <c r="AH105" i="98"/>
  <c r="AI104" i="98"/>
  <c r="AH104" i="98"/>
  <c r="AI103" i="98"/>
  <c r="AH103" i="98"/>
  <c r="AI102" i="98"/>
  <c r="AH102" i="98"/>
  <c r="AI101" i="98"/>
  <c r="AH101" i="98"/>
  <c r="AA100" i="98"/>
  <c r="AD99" i="98"/>
  <c r="AC99" i="98"/>
  <c r="AB99" i="98"/>
  <c r="AA99" i="98"/>
  <c r="Z99" i="98"/>
  <c r="Y99" i="98"/>
  <c r="X99" i="98"/>
  <c r="W99" i="98"/>
  <c r="V99" i="98"/>
  <c r="U99" i="98"/>
  <c r="T99" i="98"/>
  <c r="S99" i="98"/>
  <c r="R99" i="98"/>
  <c r="Q99" i="98"/>
  <c r="P99" i="98"/>
  <c r="O99" i="98"/>
  <c r="N99" i="98"/>
  <c r="M99" i="98"/>
  <c r="I99" i="98"/>
  <c r="C99" i="98"/>
  <c r="AI98" i="98"/>
  <c r="AH98" i="98"/>
  <c r="AI97" i="98"/>
  <c r="AH97" i="98"/>
  <c r="AI96" i="98"/>
  <c r="AH96" i="98"/>
  <c r="AI95" i="98"/>
  <c r="AH95" i="98"/>
  <c r="AI94" i="98"/>
  <c r="AH94" i="98"/>
  <c r="AI93" i="98"/>
  <c r="AH93" i="98"/>
  <c r="AI90" i="98"/>
  <c r="AH90" i="98"/>
  <c r="AB89" i="98"/>
  <c r="AB91" i="98" s="1"/>
  <c r="AA89" i="98"/>
  <c r="AA91" i="98" s="1"/>
  <c r="AI88" i="98"/>
  <c r="AH88" i="98"/>
  <c r="AG88" i="98"/>
  <c r="AI87" i="98"/>
  <c r="AH87" i="98"/>
  <c r="AI86" i="98"/>
  <c r="AH86" i="98"/>
  <c r="AI85" i="98"/>
  <c r="AH85" i="98"/>
  <c r="AG84" i="98"/>
  <c r="AE5" i="98"/>
  <c r="AD5" i="98"/>
  <c r="AD84" i="98"/>
  <c r="AC84" i="98"/>
  <c r="AC100" i="98" s="1"/>
  <c r="AB84" i="98"/>
  <c r="AB100" i="98" s="1"/>
  <c r="AA84" i="98"/>
  <c r="Z84" i="98"/>
  <c r="Z100" i="98" s="1"/>
  <c r="Y84" i="98"/>
  <c r="X84" i="98"/>
  <c r="W5" i="98" s="1"/>
  <c r="W84" i="98"/>
  <c r="V5" i="98" s="1"/>
  <c r="V84" i="98"/>
  <c r="U84" i="98"/>
  <c r="U100" i="98" s="1"/>
  <c r="T84" i="98"/>
  <c r="S84" i="98"/>
  <c r="S100" i="98" s="1"/>
  <c r="R84" i="98"/>
  <c r="R100" i="98" s="1"/>
  <c r="Q84" i="98"/>
  <c r="P5" i="98" s="1"/>
  <c r="P84" i="98"/>
  <c r="O5" i="98" s="1"/>
  <c r="O84" i="98"/>
  <c r="N5" i="98" s="1"/>
  <c r="N84" i="98"/>
  <c r="M84" i="98"/>
  <c r="M100" i="98" s="1"/>
  <c r="I84" i="98"/>
  <c r="H5" i="98" s="1"/>
  <c r="F5" i="98"/>
  <c r="C84" i="98"/>
  <c r="B5" i="98" s="1"/>
  <c r="AI83" i="98"/>
  <c r="AH83" i="98"/>
  <c r="AI82" i="98"/>
  <c r="AH82" i="98"/>
  <c r="AI81" i="98"/>
  <c r="AH81" i="98"/>
  <c r="AI80" i="98"/>
  <c r="AH80" i="98"/>
  <c r="AI79" i="98"/>
  <c r="AH79" i="98"/>
  <c r="AI78" i="98"/>
  <c r="AH78" i="98"/>
  <c r="AI77" i="98"/>
  <c r="AH77" i="98"/>
  <c r="AI76" i="98"/>
  <c r="AH76" i="98"/>
  <c r="AI75" i="98"/>
  <c r="AH75" i="98"/>
  <c r="AI74" i="98"/>
  <c r="AH74" i="98"/>
  <c r="AI73" i="98"/>
  <c r="AH73" i="98"/>
  <c r="AG72" i="98"/>
  <c r="AD72" i="98"/>
  <c r="AC72" i="98"/>
  <c r="AB72" i="98"/>
  <c r="AA72" i="98"/>
  <c r="Z72" i="98"/>
  <c r="Y72" i="98"/>
  <c r="X72" i="98"/>
  <c r="W72" i="98"/>
  <c r="V72" i="98"/>
  <c r="U72" i="98"/>
  <c r="T72" i="98"/>
  <c r="S72" i="98"/>
  <c r="R72" i="98"/>
  <c r="Q72" i="98"/>
  <c r="P72" i="98"/>
  <c r="O72" i="98"/>
  <c r="N72" i="98"/>
  <c r="M72" i="98"/>
  <c r="AI71" i="98"/>
  <c r="AH71" i="98"/>
  <c r="AI70" i="98"/>
  <c r="AH70" i="98"/>
  <c r="AI69" i="98"/>
  <c r="AH69" i="98"/>
  <c r="AD68" i="98"/>
  <c r="AC68" i="98"/>
  <c r="AB68" i="98"/>
  <c r="AA68" i="98"/>
  <c r="Z68" i="98"/>
  <c r="Y68" i="98"/>
  <c r="X68" i="98"/>
  <c r="W68" i="98"/>
  <c r="V68" i="98"/>
  <c r="U68" i="98"/>
  <c r="T68" i="98"/>
  <c r="S68" i="98"/>
  <c r="R68" i="98"/>
  <c r="Q68" i="98"/>
  <c r="P68" i="98"/>
  <c r="O68" i="98"/>
  <c r="N68" i="98"/>
  <c r="M68" i="98"/>
  <c r="C68" i="98"/>
  <c r="AI67" i="98"/>
  <c r="AH67" i="98"/>
  <c r="AG67" i="98"/>
  <c r="AG68" i="98" s="1"/>
  <c r="AI66" i="98"/>
  <c r="AH66" i="98"/>
  <c r="AI65" i="98"/>
  <c r="AH65" i="98"/>
  <c r="AI64" i="98"/>
  <c r="AH64" i="98"/>
  <c r="AI63" i="98"/>
  <c r="AH63" i="98"/>
  <c r="AI62" i="98"/>
  <c r="AH62" i="98"/>
  <c r="AI61" i="98"/>
  <c r="AH61" i="98"/>
  <c r="AI60" i="98"/>
  <c r="AH60" i="98"/>
  <c r="AI59" i="98"/>
  <c r="AH59" i="98"/>
  <c r="AI58" i="98"/>
  <c r="AH58" i="98"/>
  <c r="AI57" i="98"/>
  <c r="AH57" i="98"/>
  <c r="AI56" i="98"/>
  <c r="AH56" i="98"/>
  <c r="AI55" i="98"/>
  <c r="AH55" i="98"/>
  <c r="AG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C54" i="98"/>
  <c r="AI53" i="98"/>
  <c r="AH53" i="98"/>
  <c r="AI52" i="98"/>
  <c r="AH52" i="98"/>
  <c r="AI51" i="98"/>
  <c r="AH51" i="98"/>
  <c r="AG50" i="98"/>
  <c r="AG89" i="98" s="1"/>
  <c r="AD50" i="98"/>
  <c r="AC50" i="98"/>
  <c r="AB50" i="98"/>
  <c r="AA50" i="98"/>
  <c r="Z50" i="98"/>
  <c r="Y50" i="98"/>
  <c r="X50" i="98"/>
  <c r="W50" i="98"/>
  <c r="V50" i="98"/>
  <c r="U50" i="98"/>
  <c r="T50" i="98"/>
  <c r="S50" i="98"/>
  <c r="R50" i="98"/>
  <c r="Q50" i="98"/>
  <c r="P50" i="98"/>
  <c r="O50" i="98"/>
  <c r="N50" i="98"/>
  <c r="M50" i="98"/>
  <c r="C50" i="98"/>
  <c r="AI49" i="98"/>
  <c r="AH49" i="98"/>
  <c r="AI48" i="98"/>
  <c r="AH48" i="98"/>
  <c r="AI47" i="98"/>
  <c r="AH47" i="98"/>
  <c r="AI46" i="98"/>
  <c r="AH46" i="98"/>
  <c r="AI45" i="98"/>
  <c r="AH45" i="98"/>
  <c r="AI44" i="98"/>
  <c r="AH44" i="98"/>
  <c r="AI43" i="98"/>
  <c r="AH43" i="98"/>
  <c r="AI42" i="98"/>
  <c r="AH42" i="98"/>
  <c r="AI41" i="98"/>
  <c r="AH41" i="98"/>
  <c r="AI40" i="98"/>
  <c r="AH40" i="98"/>
  <c r="AI39" i="98"/>
  <c r="AH39" i="98"/>
  <c r="AI38" i="98"/>
  <c r="AH38" i="98"/>
  <c r="AI37" i="98"/>
  <c r="AH37" i="98"/>
  <c r="AI36" i="98"/>
  <c r="AH36" i="98"/>
  <c r="AI35" i="98"/>
  <c r="AH35" i="98"/>
  <c r="AI34" i="98"/>
  <c r="AH34" i="98"/>
  <c r="AI33" i="98"/>
  <c r="AH33" i="98"/>
  <c r="AI32" i="98"/>
  <c r="AH32" i="98"/>
  <c r="AI31" i="98"/>
  <c r="AH31" i="98"/>
  <c r="AI30" i="98"/>
  <c r="AH30" i="98"/>
  <c r="AI29" i="98"/>
  <c r="AH29" i="98"/>
  <c r="AI28" i="98"/>
  <c r="AH28" i="98"/>
  <c r="AI27" i="98"/>
  <c r="AH27" i="98"/>
  <c r="AI26" i="98"/>
  <c r="AH26" i="98"/>
  <c r="AI25" i="98"/>
  <c r="AH25" i="98"/>
  <c r="AI24" i="98"/>
  <c r="AH24" i="98"/>
  <c r="AI23" i="98"/>
  <c r="AH23" i="98"/>
  <c r="AI22" i="98"/>
  <c r="AH22" i="98"/>
  <c r="AI21" i="98"/>
  <c r="AH21" i="98"/>
  <c r="AI20" i="98"/>
  <c r="AH20" i="98"/>
  <c r="AI19" i="98"/>
  <c r="AH19" i="98"/>
  <c r="AI18" i="98"/>
  <c r="AH18" i="98"/>
  <c r="AI17" i="98"/>
  <c r="AH17" i="98"/>
  <c r="AI16" i="98"/>
  <c r="AH16" i="98"/>
  <c r="AI15" i="98"/>
  <c r="AH15" i="98"/>
  <c r="AI14" i="98"/>
  <c r="AH14" i="98"/>
  <c r="AI13" i="98"/>
  <c r="AH13" i="98"/>
  <c r="AI12" i="98"/>
  <c r="AH12" i="98"/>
  <c r="AI11" i="98"/>
  <c r="AH11" i="98"/>
  <c r="AA5" i="98"/>
  <c r="Z5" i="98"/>
  <c r="X5" i="98"/>
  <c r="AG4" i="98"/>
  <c r="K4" i="98"/>
  <c r="E4" i="98"/>
  <c r="H4" i="98" s="1"/>
  <c r="B4" i="98"/>
  <c r="S246" i="98" s="1"/>
  <c r="AG2" i="98"/>
  <c r="AF50" i="97"/>
  <c r="AF54" i="97"/>
  <c r="AF68" i="97"/>
  <c r="AF72" i="97"/>
  <c r="AF84" i="97"/>
  <c r="AF100" i="97" s="1"/>
  <c r="AF99" i="97"/>
  <c r="AE50" i="97"/>
  <c r="AE54" i="97"/>
  <c r="AE68" i="97"/>
  <c r="AE72" i="97"/>
  <c r="AE84" i="97"/>
  <c r="AE100" i="97" s="1"/>
  <c r="AE99" i="97"/>
  <c r="AE110" i="97"/>
  <c r="AC50" i="97"/>
  <c r="AD50" i="97"/>
  <c r="AC54" i="97"/>
  <c r="AD54" i="97"/>
  <c r="AC68" i="97"/>
  <c r="AD68" i="97"/>
  <c r="AC72" i="97"/>
  <c r="AD72" i="97"/>
  <c r="AC84" i="97"/>
  <c r="AC100" i="97" s="1"/>
  <c r="AD84" i="97"/>
  <c r="AD100" i="97" s="1"/>
  <c r="AC99" i="97"/>
  <c r="AD99" i="97"/>
  <c r="AC110" i="97"/>
  <c r="AD110" i="97"/>
  <c r="AB50" i="97"/>
  <c r="AB54" i="97"/>
  <c r="AB68" i="97"/>
  <c r="AB72" i="97"/>
  <c r="AB84" i="97"/>
  <c r="AB100" i="97" s="1"/>
  <c r="AB99" i="97"/>
  <c r="AB110" i="97"/>
  <c r="U113" i="97"/>
  <c r="AD89" i="98" l="1"/>
  <c r="AD91" i="98" s="1"/>
  <c r="AB5" i="98"/>
  <c r="AC89" i="98"/>
  <c r="AC91" i="98" s="1"/>
  <c r="Y5" i="98"/>
  <c r="Y100" i="98"/>
  <c r="Y89" i="98"/>
  <c r="Y91" i="98" s="1"/>
  <c r="X100" i="98"/>
  <c r="X89" i="98"/>
  <c r="X91" i="98" s="1"/>
  <c r="W100" i="98"/>
  <c r="W89" i="98"/>
  <c r="W91" i="98" s="1"/>
  <c r="V89" i="98"/>
  <c r="V91" i="98" s="1"/>
  <c r="T5" i="98"/>
  <c r="U89" i="98"/>
  <c r="U91" i="98" s="1"/>
  <c r="U92" i="98" s="1"/>
  <c r="T100" i="98"/>
  <c r="S5" i="98"/>
  <c r="T89" i="98"/>
  <c r="T91" i="98" s="1"/>
  <c r="R5" i="98"/>
  <c r="S89" i="98"/>
  <c r="S91" i="98" s="1"/>
  <c r="Q5" i="98"/>
  <c r="Q100" i="98"/>
  <c r="Q89" i="98"/>
  <c r="Q91" i="98" s="1"/>
  <c r="Q7" i="98" s="1"/>
  <c r="P100" i="98"/>
  <c r="P89" i="98"/>
  <c r="P91" i="98" s="1"/>
  <c r="P7" i="98" s="1"/>
  <c r="O100" i="98"/>
  <c r="O89" i="98"/>
  <c r="O91" i="98" s="1"/>
  <c r="AG249" i="98" s="1"/>
  <c r="AI54" i="98"/>
  <c r="L5" i="98"/>
  <c r="AH72" i="98"/>
  <c r="M89" i="98"/>
  <c r="M91" i="98" s="1"/>
  <c r="M7" i="98" s="1"/>
  <c r="N89" i="98"/>
  <c r="N91" i="98" s="1"/>
  <c r="N7" i="98" s="1"/>
  <c r="L89" i="98"/>
  <c r="L91" i="98" s="1"/>
  <c r="L92" i="98" s="1"/>
  <c r="K5" i="98"/>
  <c r="G89" i="98"/>
  <c r="G91" i="98" s="1"/>
  <c r="G92" i="98" s="1"/>
  <c r="K89" i="98"/>
  <c r="K91" i="98" s="1"/>
  <c r="K92" i="98" s="1"/>
  <c r="J5" i="98"/>
  <c r="I5" i="98"/>
  <c r="J89" i="98"/>
  <c r="J91" i="98" s="1"/>
  <c r="J92" i="98" s="1"/>
  <c r="I89" i="98"/>
  <c r="I91" i="98" s="1"/>
  <c r="I7" i="98" s="1"/>
  <c r="I100" i="98"/>
  <c r="G5" i="98"/>
  <c r="H89" i="98"/>
  <c r="H91" i="98" s="1"/>
  <c r="H92" i="98" s="1"/>
  <c r="F89" i="98"/>
  <c r="F91" i="98" s="1"/>
  <c r="F92" i="98" s="1"/>
  <c r="E89" i="98"/>
  <c r="E91" i="98" s="1"/>
  <c r="E92" i="98" s="1"/>
  <c r="D5" i="98"/>
  <c r="D89" i="98"/>
  <c r="D91" i="98" s="1"/>
  <c r="C5" i="98"/>
  <c r="D92" i="98"/>
  <c r="AI99" i="98"/>
  <c r="C100" i="98"/>
  <c r="AI68" i="98"/>
  <c r="C89" i="98"/>
  <c r="C91" i="98" s="1"/>
  <c r="C7" i="98" s="1"/>
  <c r="AH50" i="98"/>
  <c r="AC89" i="97"/>
  <c r="AC91" i="97" s="1"/>
  <c r="AC92" i="97" s="1"/>
  <c r="B89" i="98"/>
  <c r="B91" i="98" s="1"/>
  <c r="B92" i="98" s="1"/>
  <c r="AF5" i="98"/>
  <c r="D246" i="98"/>
  <c r="Y249" i="98"/>
  <c r="AW249" i="98"/>
  <c r="AE7" i="98"/>
  <c r="AO249" i="98"/>
  <c r="W92" i="98"/>
  <c r="W7" i="98"/>
  <c r="O92" i="98"/>
  <c r="O7" i="98"/>
  <c r="V7" i="98"/>
  <c r="AN249" i="98"/>
  <c r="V92" i="98"/>
  <c r="AD7" i="98"/>
  <c r="AV249" i="98"/>
  <c r="AD92" i="98"/>
  <c r="AA7" i="98"/>
  <c r="AA92" i="98"/>
  <c r="AS249" i="98"/>
  <c r="AB92" i="98"/>
  <c r="AB7" i="98"/>
  <c r="AT249" i="98"/>
  <c r="H7" i="98"/>
  <c r="AP249" i="98"/>
  <c r="X92" i="98"/>
  <c r="X7" i="98"/>
  <c r="AF7" i="98"/>
  <c r="AX249" i="98"/>
  <c r="U7" i="98"/>
  <c r="AM249" i="98"/>
  <c r="AC7" i="98"/>
  <c r="AU249" i="98"/>
  <c r="Y7" i="98"/>
  <c r="AQ249" i="98"/>
  <c r="Y92" i="98"/>
  <c r="R89" i="98"/>
  <c r="R91" i="98" s="1"/>
  <c r="AG91" i="98"/>
  <c r="AG3" i="98"/>
  <c r="AG6" i="98" s="1"/>
  <c r="AC92" i="98"/>
  <c r="J232" i="98"/>
  <c r="K232" i="98" s="1"/>
  <c r="L232" i="98" s="1"/>
  <c r="M232" i="98" s="1"/>
  <c r="N232" i="98" s="1"/>
  <c r="O232" i="98" s="1"/>
  <c r="P232" i="98" s="1"/>
  <c r="D270" i="98"/>
  <c r="F234" i="98"/>
  <c r="D7" i="98"/>
  <c r="V249" i="98"/>
  <c r="AI72" i="98"/>
  <c r="N100" i="98"/>
  <c r="M5" i="98"/>
  <c r="AD100" i="98"/>
  <c r="AC5" i="98"/>
  <c r="L7" i="98"/>
  <c r="AD249" i="98"/>
  <c r="AH54" i="98"/>
  <c r="AI50" i="98"/>
  <c r="Z89" i="98"/>
  <c r="Z91" i="98" s="1"/>
  <c r="E5" i="98"/>
  <c r="V100" i="98"/>
  <c r="U5" i="98"/>
  <c r="S92" i="98"/>
  <c r="S7" i="98"/>
  <c r="AK249" i="98"/>
  <c r="T92" i="98"/>
  <c r="T7" i="98"/>
  <c r="AL249" i="98"/>
  <c r="AH99" i="98"/>
  <c r="C270" i="98"/>
  <c r="E229" i="98"/>
  <c r="AH84" i="98"/>
  <c r="AH68" i="98"/>
  <c r="AI84" i="98"/>
  <c r="B235" i="98"/>
  <c r="AF89" i="97"/>
  <c r="AF91" i="97" s="1"/>
  <c r="AF92" i="97" s="1"/>
  <c r="AE89" i="97"/>
  <c r="AE91" i="97" s="1"/>
  <c r="AE92" i="97" s="1"/>
  <c r="AD89" i="97"/>
  <c r="AD91" i="97" s="1"/>
  <c r="AD92" i="97" s="1"/>
  <c r="AB89" i="97"/>
  <c r="AB91" i="97" s="1"/>
  <c r="AB92" i="97" s="1"/>
  <c r="S49" i="97"/>
  <c r="AH249" i="98" l="1"/>
  <c r="P92" i="98"/>
  <c r="Q92" i="98"/>
  <c r="AI249" i="98"/>
  <c r="AF249" i="98"/>
  <c r="N92" i="98"/>
  <c r="M92" i="98"/>
  <c r="AE249" i="98"/>
  <c r="Z249" i="98"/>
  <c r="G7" i="98"/>
  <c r="AC249" i="98"/>
  <c r="K7" i="98"/>
  <c r="I92" i="98"/>
  <c r="C244" i="98"/>
  <c r="W249" i="98"/>
  <c r="E7" i="98"/>
  <c r="AA249" i="98"/>
  <c r="X249" i="98"/>
  <c r="F7" i="98"/>
  <c r="C92" i="98"/>
  <c r="U249" i="98"/>
  <c r="Z92" i="98"/>
  <c r="Z7" i="98"/>
  <c r="AR249" i="98"/>
  <c r="AI100" i="98"/>
  <c r="AH100" i="98"/>
  <c r="AH89" i="98"/>
  <c r="AI89" i="98"/>
  <c r="E270" i="98"/>
  <c r="G234" i="98"/>
  <c r="B244" i="98"/>
  <c r="F229" i="98"/>
  <c r="E235" i="98"/>
  <c r="J7" i="98"/>
  <c r="AB249" i="98"/>
  <c r="R92" i="98"/>
  <c r="R7" i="98"/>
  <c r="AJ249" i="98"/>
  <c r="R113" i="97"/>
  <c r="R49" i="97"/>
  <c r="R27" i="97"/>
  <c r="R50" i="97" s="1"/>
  <c r="R54" i="97"/>
  <c r="R68" i="97"/>
  <c r="R72" i="97"/>
  <c r="Q23" i="97"/>
  <c r="Q113" i="97"/>
  <c r="Q110" i="97" s="1"/>
  <c r="Q49" i="97"/>
  <c r="P113" i="97"/>
  <c r="P49" i="97"/>
  <c r="P23" i="97"/>
  <c r="P27" i="97"/>
  <c r="O113" i="97"/>
  <c r="O49" i="97"/>
  <c r="N113" i="97"/>
  <c r="N49" i="97"/>
  <c r="M113" i="97"/>
  <c r="M49" i="97"/>
  <c r="L113" i="97"/>
  <c r="J113" i="97"/>
  <c r="AF274" i="97"/>
  <c r="AE274" i="97"/>
  <c r="AD274" i="97"/>
  <c r="AC274" i="97"/>
  <c r="AB274" i="97"/>
  <c r="AA274" i="97"/>
  <c r="Z274" i="97"/>
  <c r="Y274" i="97"/>
  <c r="X274" i="97"/>
  <c r="W274" i="97"/>
  <c r="V274" i="97"/>
  <c r="U274" i="97"/>
  <c r="T274" i="97"/>
  <c r="S274" i="97"/>
  <c r="R274" i="97"/>
  <c r="Q274" i="97"/>
  <c r="P274" i="97"/>
  <c r="O274" i="97"/>
  <c r="N274" i="97"/>
  <c r="M274" i="97"/>
  <c r="L274" i="97"/>
  <c r="K274" i="97"/>
  <c r="J274" i="97"/>
  <c r="I274" i="97"/>
  <c r="H274" i="97"/>
  <c r="G274" i="97"/>
  <c r="F274" i="97"/>
  <c r="E274" i="97"/>
  <c r="D274" i="97"/>
  <c r="C274" i="97"/>
  <c r="B274" i="97"/>
  <c r="A274" i="97"/>
  <c r="AF273" i="97"/>
  <c r="AE273" i="97"/>
  <c r="AD273" i="97"/>
  <c r="AC273" i="97"/>
  <c r="AB273" i="97"/>
  <c r="AA273" i="97"/>
  <c r="Z273" i="97"/>
  <c r="Y273" i="97"/>
  <c r="X273" i="97"/>
  <c r="W273" i="97"/>
  <c r="V273" i="97"/>
  <c r="U273" i="97"/>
  <c r="T273" i="97"/>
  <c r="S273" i="97"/>
  <c r="R273" i="97"/>
  <c r="Q273" i="97"/>
  <c r="P273" i="97"/>
  <c r="O273" i="97"/>
  <c r="N273" i="97"/>
  <c r="M273" i="97"/>
  <c r="L273" i="97"/>
  <c r="K273" i="97"/>
  <c r="J273" i="97"/>
  <c r="I273" i="97"/>
  <c r="H273" i="97"/>
  <c r="G273" i="97"/>
  <c r="F273" i="97"/>
  <c r="E273" i="97"/>
  <c r="D273" i="97"/>
  <c r="C273" i="97"/>
  <c r="B273" i="97"/>
  <c r="A273" i="97"/>
  <c r="AF272" i="97"/>
  <c r="AE272" i="97"/>
  <c r="AD272" i="97"/>
  <c r="AC272" i="97"/>
  <c r="AB272" i="97"/>
  <c r="AA272" i="97"/>
  <c r="Z272" i="97"/>
  <c r="Y272" i="97"/>
  <c r="X272" i="97"/>
  <c r="W272" i="97"/>
  <c r="V272" i="97"/>
  <c r="U272" i="97"/>
  <c r="T272" i="97"/>
  <c r="S272" i="97"/>
  <c r="R272" i="97"/>
  <c r="Q272" i="97"/>
  <c r="P272" i="97"/>
  <c r="O272" i="97"/>
  <c r="N272" i="97"/>
  <c r="M272" i="97"/>
  <c r="L272" i="97"/>
  <c r="K272" i="97"/>
  <c r="J272" i="97"/>
  <c r="I272" i="97"/>
  <c r="H272" i="97"/>
  <c r="G272" i="97"/>
  <c r="F272" i="97"/>
  <c r="E272" i="97"/>
  <c r="D272" i="97"/>
  <c r="C272" i="97"/>
  <c r="B272" i="97"/>
  <c r="A272" i="97"/>
  <c r="AF271" i="97"/>
  <c r="AE271" i="97"/>
  <c r="AD271" i="97"/>
  <c r="AC271" i="97"/>
  <c r="AB271" i="97"/>
  <c r="AA271" i="97"/>
  <c r="Z271" i="97"/>
  <c r="Y271" i="97"/>
  <c r="X271" i="97"/>
  <c r="W271" i="97"/>
  <c r="V271" i="97"/>
  <c r="U271" i="97"/>
  <c r="T271" i="97"/>
  <c r="S271" i="97"/>
  <c r="R271" i="97"/>
  <c r="Q271" i="97"/>
  <c r="P271" i="97"/>
  <c r="O271" i="97"/>
  <c r="N271" i="97"/>
  <c r="M271" i="97"/>
  <c r="L271" i="97"/>
  <c r="K271" i="97"/>
  <c r="J271" i="97"/>
  <c r="I271" i="97"/>
  <c r="H271" i="97"/>
  <c r="G271" i="97"/>
  <c r="F271" i="97"/>
  <c r="E271" i="97"/>
  <c r="D271" i="97"/>
  <c r="C271" i="97"/>
  <c r="B271" i="97"/>
  <c r="A271" i="97"/>
  <c r="AE270" i="97"/>
  <c r="AD270" i="97"/>
  <c r="AC270" i="97"/>
  <c r="AB270" i="97"/>
  <c r="AA270" i="97"/>
  <c r="Z270" i="97"/>
  <c r="Y270" i="97"/>
  <c r="X270" i="97"/>
  <c r="W270" i="97"/>
  <c r="V270" i="97"/>
  <c r="U270" i="97"/>
  <c r="T270" i="97"/>
  <c r="S270" i="97"/>
  <c r="R270" i="97"/>
  <c r="Q270" i="97"/>
  <c r="P270" i="97"/>
  <c r="B270" i="97"/>
  <c r="S245" i="97"/>
  <c r="AG235" i="97"/>
  <c r="AF235" i="97"/>
  <c r="AE235" i="97"/>
  <c r="AD235" i="97"/>
  <c r="AC235" i="97"/>
  <c r="AB235" i="97"/>
  <c r="AA235" i="97"/>
  <c r="Z235" i="97"/>
  <c r="Y235" i="97"/>
  <c r="X235" i="97"/>
  <c r="W235" i="97"/>
  <c r="V235" i="97"/>
  <c r="U235" i="97"/>
  <c r="T235" i="97"/>
  <c r="S235" i="97"/>
  <c r="R235" i="97"/>
  <c r="Q235" i="97"/>
  <c r="C235" i="97"/>
  <c r="D234" i="97"/>
  <c r="C270" i="97" s="1"/>
  <c r="B234" i="97"/>
  <c r="AF270" i="97" s="1"/>
  <c r="E233" i="97"/>
  <c r="F233" i="97" s="1"/>
  <c r="G233" i="97" s="1"/>
  <c r="H233" i="97" s="1"/>
  <c r="I233" i="97" s="1"/>
  <c r="J233" i="97" s="1"/>
  <c r="K233" i="97" s="1"/>
  <c r="L233" i="97" s="1"/>
  <c r="M233" i="97" s="1"/>
  <c r="N233" i="97" s="1"/>
  <c r="O233" i="97" s="1"/>
  <c r="P233" i="97" s="1"/>
  <c r="D233" i="97"/>
  <c r="B233" i="97"/>
  <c r="D232" i="97"/>
  <c r="E232" i="97" s="1"/>
  <c r="F232" i="97" s="1"/>
  <c r="G232" i="97" s="1"/>
  <c r="H232" i="97" s="1"/>
  <c r="I232" i="97" s="1"/>
  <c r="B232" i="97"/>
  <c r="F231" i="97"/>
  <c r="G231" i="97" s="1"/>
  <c r="H231" i="97" s="1"/>
  <c r="E231" i="97"/>
  <c r="D231" i="97"/>
  <c r="B231" i="97"/>
  <c r="D230" i="97"/>
  <c r="D235" i="97" s="1"/>
  <c r="B230" i="97"/>
  <c r="E229" i="97"/>
  <c r="F229" i="97" s="1"/>
  <c r="D229" i="97"/>
  <c r="B229" i="97"/>
  <c r="B235" i="97" s="1"/>
  <c r="AG227" i="97"/>
  <c r="AF227" i="97"/>
  <c r="AE227" i="97"/>
  <c r="AD227" i="97"/>
  <c r="AC227" i="97"/>
  <c r="AB227" i="97"/>
  <c r="AA227" i="97"/>
  <c r="Z227" i="97"/>
  <c r="Y227" i="97"/>
  <c r="X227" i="97"/>
  <c r="W227" i="97"/>
  <c r="V227" i="97"/>
  <c r="U227" i="97"/>
  <c r="T227" i="97"/>
  <c r="S227" i="97"/>
  <c r="R227" i="97"/>
  <c r="Q227" i="97"/>
  <c r="P227" i="97"/>
  <c r="O227" i="97"/>
  <c r="N227" i="97"/>
  <c r="M227" i="97"/>
  <c r="L227" i="97"/>
  <c r="K227" i="97"/>
  <c r="J227" i="97"/>
  <c r="I227" i="97"/>
  <c r="H227" i="97"/>
  <c r="G227" i="97"/>
  <c r="F227" i="97"/>
  <c r="E227" i="97"/>
  <c r="D227" i="97"/>
  <c r="C227" i="97"/>
  <c r="B227" i="97"/>
  <c r="AI120" i="97"/>
  <c r="AH120" i="97"/>
  <c r="AI119" i="97"/>
  <c r="AH119" i="97"/>
  <c r="AI118" i="97"/>
  <c r="AH118" i="97"/>
  <c r="AI117" i="97"/>
  <c r="AH117" i="97"/>
  <c r="AI116" i="97"/>
  <c r="AH116" i="97"/>
  <c r="AI115" i="97"/>
  <c r="AH115" i="97"/>
  <c r="AI114" i="97"/>
  <c r="AH114" i="97"/>
  <c r="AI113" i="97"/>
  <c r="AH113" i="97"/>
  <c r="AI112" i="97"/>
  <c r="AH112" i="97"/>
  <c r="AI111" i="97"/>
  <c r="AH111" i="97"/>
  <c r="AA110" i="97"/>
  <c r="Z110" i="97"/>
  <c r="Y110" i="97"/>
  <c r="X110" i="97"/>
  <c r="W110" i="97"/>
  <c r="V110" i="97"/>
  <c r="U110" i="97"/>
  <c r="T110" i="97"/>
  <c r="S110" i="97"/>
  <c r="R110" i="97"/>
  <c r="D110" i="97"/>
  <c r="C110" i="97"/>
  <c r="B110" i="97"/>
  <c r="AI109" i="97"/>
  <c r="AH109" i="97"/>
  <c r="AI108" i="97"/>
  <c r="AH108" i="97"/>
  <c r="AI107" i="97"/>
  <c r="AH107" i="97"/>
  <c r="AI106" i="97"/>
  <c r="AH106" i="97"/>
  <c r="AI105" i="97"/>
  <c r="AH105" i="97"/>
  <c r="AI104" i="97"/>
  <c r="AH104" i="97"/>
  <c r="AI103" i="97"/>
  <c r="AH103" i="97"/>
  <c r="AI102" i="97"/>
  <c r="AH102" i="97"/>
  <c r="AI101" i="97"/>
  <c r="AH101" i="97"/>
  <c r="AA99" i="97"/>
  <c r="Z99" i="97"/>
  <c r="Y99" i="97"/>
  <c r="X99" i="97"/>
  <c r="W99" i="97"/>
  <c r="V99" i="97"/>
  <c r="U99" i="97"/>
  <c r="T99" i="97"/>
  <c r="S99" i="97"/>
  <c r="R99" i="97"/>
  <c r="Q99" i="97"/>
  <c r="P99" i="97"/>
  <c r="O99" i="97"/>
  <c r="N99" i="97"/>
  <c r="M99" i="97"/>
  <c r="L99" i="97"/>
  <c r="K99" i="97"/>
  <c r="J99" i="97"/>
  <c r="I99" i="97"/>
  <c r="H99" i="97"/>
  <c r="G99" i="97"/>
  <c r="F99" i="97"/>
  <c r="E99" i="97"/>
  <c r="D99" i="97"/>
  <c r="C99" i="97"/>
  <c r="B99" i="97"/>
  <c r="AI98" i="97"/>
  <c r="AH98" i="97"/>
  <c r="AI97" i="97"/>
  <c r="AH97" i="97"/>
  <c r="AI96" i="97"/>
  <c r="AH96" i="97"/>
  <c r="AI95" i="97"/>
  <c r="AH95" i="97"/>
  <c r="AI94" i="97"/>
  <c r="AH94" i="97"/>
  <c r="AI93" i="97"/>
  <c r="AH93" i="97"/>
  <c r="AI90" i="97"/>
  <c r="AH90" i="97"/>
  <c r="AI88" i="97"/>
  <c r="AH88" i="97"/>
  <c r="AG88" i="97"/>
  <c r="AI87" i="97"/>
  <c r="AH87" i="97"/>
  <c r="AI86" i="97"/>
  <c r="AH86" i="97"/>
  <c r="AI85" i="97"/>
  <c r="AH85" i="97"/>
  <c r="AG84" i="97"/>
  <c r="AA84" i="97"/>
  <c r="AA100" i="97" s="1"/>
  <c r="Z84" i="97"/>
  <c r="Z100" i="97" s="1"/>
  <c r="Y84" i="97"/>
  <c r="X5" i="97" s="1"/>
  <c r="X84" i="97"/>
  <c r="X100" i="97" s="1"/>
  <c r="W84" i="97"/>
  <c r="V5" i="97" s="1"/>
  <c r="V84" i="97"/>
  <c r="V100" i="97" s="1"/>
  <c r="U84" i="97"/>
  <c r="U100" i="97" s="1"/>
  <c r="T84" i="97"/>
  <c r="T100" i="97" s="1"/>
  <c r="S84" i="97"/>
  <c r="R84" i="97"/>
  <c r="R100" i="97" s="1"/>
  <c r="Q84" i="97"/>
  <c r="P5" i="97" s="1"/>
  <c r="P84" i="97"/>
  <c r="P100" i="97" s="1"/>
  <c r="O84" i="97"/>
  <c r="N5" i="97" s="1"/>
  <c r="N84" i="97"/>
  <c r="M84" i="97"/>
  <c r="M100" i="97" s="1"/>
  <c r="L84" i="97"/>
  <c r="L100" i="97" s="1"/>
  <c r="K84" i="97"/>
  <c r="K100" i="97" s="1"/>
  <c r="J84" i="97"/>
  <c r="I5" i="97" s="1"/>
  <c r="I84" i="97"/>
  <c r="H5" i="97" s="1"/>
  <c r="H84" i="97"/>
  <c r="G84" i="97"/>
  <c r="F5" i="97" s="1"/>
  <c r="F84" i="97"/>
  <c r="F100" i="97" s="1"/>
  <c r="E84" i="97"/>
  <c r="D84" i="97"/>
  <c r="D100" i="97" s="1"/>
  <c r="C84" i="97"/>
  <c r="C100" i="97" s="1"/>
  <c r="B84" i="97"/>
  <c r="AI83" i="97"/>
  <c r="AH83" i="97"/>
  <c r="AI82" i="97"/>
  <c r="AH82" i="97"/>
  <c r="AI81" i="97"/>
  <c r="AH81" i="97"/>
  <c r="AI80" i="97"/>
  <c r="AH80" i="97"/>
  <c r="AI79" i="97"/>
  <c r="AH79" i="97"/>
  <c r="AI78" i="97"/>
  <c r="AH78" i="97"/>
  <c r="AI77" i="97"/>
  <c r="AH77" i="97"/>
  <c r="AI76" i="97"/>
  <c r="AH76" i="97"/>
  <c r="AI75" i="97"/>
  <c r="AH75" i="97"/>
  <c r="AI74" i="97"/>
  <c r="AH74" i="97"/>
  <c r="AI73" i="97"/>
  <c r="AH73" i="97"/>
  <c r="AG72" i="97"/>
  <c r="AA72" i="97"/>
  <c r="Z72" i="97"/>
  <c r="Y72" i="97"/>
  <c r="X72" i="97"/>
  <c r="W72" i="97"/>
  <c r="V72" i="97"/>
  <c r="U72" i="97"/>
  <c r="T72" i="97"/>
  <c r="S72" i="97"/>
  <c r="Q72" i="97"/>
  <c r="P72" i="97"/>
  <c r="O72" i="97"/>
  <c r="N72" i="97"/>
  <c r="M72" i="97"/>
  <c r="L72" i="97"/>
  <c r="B72" i="97"/>
  <c r="AI71" i="97"/>
  <c r="AH71" i="97"/>
  <c r="AI70" i="97"/>
  <c r="AH70" i="97"/>
  <c r="AI69" i="97"/>
  <c r="AH69" i="97"/>
  <c r="AA68" i="97"/>
  <c r="Z68" i="97"/>
  <c r="Y68" i="97"/>
  <c r="X68" i="97"/>
  <c r="W68" i="97"/>
  <c r="V68" i="97"/>
  <c r="U68" i="97"/>
  <c r="T68" i="97"/>
  <c r="S68" i="97"/>
  <c r="Q68" i="97"/>
  <c r="P68" i="97"/>
  <c r="O68" i="97"/>
  <c r="N68" i="97"/>
  <c r="M68" i="97"/>
  <c r="L68" i="97"/>
  <c r="K68" i="97"/>
  <c r="J68" i="97"/>
  <c r="I68" i="97"/>
  <c r="H68" i="97"/>
  <c r="G68" i="97"/>
  <c r="F68" i="97"/>
  <c r="E68" i="97"/>
  <c r="D68" i="97"/>
  <c r="C68" i="97"/>
  <c r="B68" i="97"/>
  <c r="AI67" i="97"/>
  <c r="AH67" i="97"/>
  <c r="AG67" i="97"/>
  <c r="AG68" i="97" s="1"/>
  <c r="AG3" i="97" s="1"/>
  <c r="AI66" i="97"/>
  <c r="AH66" i="97"/>
  <c r="AI65" i="97"/>
  <c r="AH65" i="97"/>
  <c r="AI64" i="97"/>
  <c r="AH64" i="97"/>
  <c r="AI63" i="97"/>
  <c r="AH63" i="97"/>
  <c r="AI62" i="97"/>
  <c r="AH62" i="97"/>
  <c r="AI61" i="97"/>
  <c r="AH61" i="97"/>
  <c r="AI60" i="97"/>
  <c r="AH60" i="97"/>
  <c r="AI59" i="97"/>
  <c r="AH59" i="97"/>
  <c r="AI58" i="97"/>
  <c r="AH58" i="97"/>
  <c r="AI57" i="97"/>
  <c r="AH57" i="97"/>
  <c r="AI56" i="97"/>
  <c r="AH56" i="97"/>
  <c r="AI55" i="97"/>
  <c r="AH55" i="97"/>
  <c r="AG54" i="97"/>
  <c r="AA54" i="97"/>
  <c r="Z54" i="97"/>
  <c r="Y54" i="97"/>
  <c r="X54" i="97"/>
  <c r="W54" i="97"/>
  <c r="V54" i="97"/>
  <c r="U54" i="97"/>
  <c r="T54" i="97"/>
  <c r="S54" i="97"/>
  <c r="Q54" i="97"/>
  <c r="P54" i="97"/>
  <c r="O54" i="97"/>
  <c r="N54" i="97"/>
  <c r="M54" i="97"/>
  <c r="L54" i="97"/>
  <c r="K54" i="97"/>
  <c r="J54" i="97"/>
  <c r="I54" i="97"/>
  <c r="H54" i="97"/>
  <c r="G54" i="97"/>
  <c r="F54" i="97"/>
  <c r="E54" i="97"/>
  <c r="D54" i="97"/>
  <c r="C54" i="97"/>
  <c r="B54" i="97"/>
  <c r="AI53" i="97"/>
  <c r="AH53" i="97"/>
  <c r="AI52" i="97"/>
  <c r="AH52" i="97"/>
  <c r="AI51" i="97"/>
  <c r="AH51" i="97"/>
  <c r="AG50" i="97"/>
  <c r="AA50" i="97"/>
  <c r="Z50" i="97"/>
  <c r="Y50" i="97"/>
  <c r="X50" i="97"/>
  <c r="W50" i="97"/>
  <c r="V50" i="97"/>
  <c r="U50" i="97"/>
  <c r="T50" i="97"/>
  <c r="S50" i="97"/>
  <c r="Q50" i="97"/>
  <c r="P50" i="97"/>
  <c r="O50" i="97"/>
  <c r="N50" i="97"/>
  <c r="M50" i="97"/>
  <c r="L50" i="97"/>
  <c r="K50" i="97"/>
  <c r="J50" i="97"/>
  <c r="I50" i="97"/>
  <c r="H50" i="97"/>
  <c r="G50" i="97"/>
  <c r="F50" i="97"/>
  <c r="E50" i="97"/>
  <c r="D50" i="97"/>
  <c r="C50" i="97"/>
  <c r="B50" i="97"/>
  <c r="AI49" i="97"/>
  <c r="AH49" i="97"/>
  <c r="AI48" i="97"/>
  <c r="AH48" i="97"/>
  <c r="AI47" i="97"/>
  <c r="AH47" i="97"/>
  <c r="AI46" i="97"/>
  <c r="AH46" i="97"/>
  <c r="AI45" i="97"/>
  <c r="AH45" i="97"/>
  <c r="AI44" i="97"/>
  <c r="AH44" i="97"/>
  <c r="AI43" i="97"/>
  <c r="AH43" i="97"/>
  <c r="AI42" i="97"/>
  <c r="AH42" i="97"/>
  <c r="AI41" i="97"/>
  <c r="AH41" i="97"/>
  <c r="AI40" i="97"/>
  <c r="AH40" i="97"/>
  <c r="AI39" i="97"/>
  <c r="AH39" i="97"/>
  <c r="AI38" i="97"/>
  <c r="AH38" i="97"/>
  <c r="AI37" i="97"/>
  <c r="AH37" i="97"/>
  <c r="AI36" i="97"/>
  <c r="AH36" i="97"/>
  <c r="AI35" i="97"/>
  <c r="AH35" i="97"/>
  <c r="AI34" i="97"/>
  <c r="AH34" i="97"/>
  <c r="AI33" i="97"/>
  <c r="AH33" i="97"/>
  <c r="AI32" i="97"/>
  <c r="AH32" i="97"/>
  <c r="AI31" i="97"/>
  <c r="AH31" i="97"/>
  <c r="AI30" i="97"/>
  <c r="AH30" i="97"/>
  <c r="AI29" i="97"/>
  <c r="AH29" i="97"/>
  <c r="AI28" i="97"/>
  <c r="AH28" i="97"/>
  <c r="AI27" i="97"/>
  <c r="AH27" i="97"/>
  <c r="AI26" i="97"/>
  <c r="AH26" i="97"/>
  <c r="AI25" i="97"/>
  <c r="AH25" i="97"/>
  <c r="AI24" i="97"/>
  <c r="AH24" i="97"/>
  <c r="AH23" i="97"/>
  <c r="AI22" i="97"/>
  <c r="AH22" i="97"/>
  <c r="AI21" i="97"/>
  <c r="AH21" i="97"/>
  <c r="AI20" i="97"/>
  <c r="AH20" i="97"/>
  <c r="AI19" i="97"/>
  <c r="AH19" i="97"/>
  <c r="AI18" i="97"/>
  <c r="AH18" i="97"/>
  <c r="AI17" i="97"/>
  <c r="AH17" i="97"/>
  <c r="AI16" i="97"/>
  <c r="AH16" i="97"/>
  <c r="AI15" i="97"/>
  <c r="AH15" i="97"/>
  <c r="AI14" i="97"/>
  <c r="AH14" i="97"/>
  <c r="AI13" i="97"/>
  <c r="AH13" i="97"/>
  <c r="AI12" i="97"/>
  <c r="AH12" i="97"/>
  <c r="AI11" i="97"/>
  <c r="AH11" i="97"/>
  <c r="AE5" i="97"/>
  <c r="AD5" i="97"/>
  <c r="AB5" i="97"/>
  <c r="AA5" i="97"/>
  <c r="Z5" i="97"/>
  <c r="T5" i="97"/>
  <c r="S5" i="97"/>
  <c r="D5" i="97"/>
  <c r="AG4" i="97"/>
  <c r="K4" i="97"/>
  <c r="E4" i="97"/>
  <c r="H4" i="97" s="1"/>
  <c r="B4" i="97"/>
  <c r="S246" i="97" s="1"/>
  <c r="AG2" i="97"/>
  <c r="AD113" i="96"/>
  <c r="AC113" i="96"/>
  <c r="AB113" i="96"/>
  <c r="K6" i="98" l="1"/>
  <c r="AI91" i="98"/>
  <c r="AH91" i="98"/>
  <c r="B7" i="98"/>
  <c r="A7" i="98" s="1"/>
  <c r="T249" i="98"/>
  <c r="G229" i="98"/>
  <c r="F235" i="98"/>
  <c r="F270" i="98"/>
  <c r="H234" i="98"/>
  <c r="AA89" i="97"/>
  <c r="AA91" i="97" s="1"/>
  <c r="Y5" i="97"/>
  <c r="Z89" i="97"/>
  <c r="Z91" i="97" s="1"/>
  <c r="Y89" i="97"/>
  <c r="Y91" i="97" s="1"/>
  <c r="W5" i="97"/>
  <c r="W100" i="97"/>
  <c r="W89" i="97"/>
  <c r="W91" i="97" s="1"/>
  <c r="V89" i="97"/>
  <c r="V91" i="97" s="1"/>
  <c r="U89" i="97"/>
  <c r="U91" i="97" s="1"/>
  <c r="T89" i="97"/>
  <c r="T91" i="97" s="1"/>
  <c r="S100" i="97"/>
  <c r="R5" i="97"/>
  <c r="S89" i="97"/>
  <c r="S91" i="97" s="1"/>
  <c r="R89" i="97"/>
  <c r="R91" i="97" s="1"/>
  <c r="Q5" i="97"/>
  <c r="AI23" i="97"/>
  <c r="Q89" i="97"/>
  <c r="Q91" i="97" s="1"/>
  <c r="O5" i="97"/>
  <c r="P89" i="97"/>
  <c r="P91" i="97" s="1"/>
  <c r="O100" i="97"/>
  <c r="O89" i="97"/>
  <c r="O91" i="97" s="1"/>
  <c r="N100" i="97"/>
  <c r="N89" i="97"/>
  <c r="N91" i="97" s="1"/>
  <c r="L5" i="97"/>
  <c r="AI72" i="97"/>
  <c r="M89" i="97"/>
  <c r="M91" i="97" s="1"/>
  <c r="M92" i="97" s="1"/>
  <c r="K5" i="97"/>
  <c r="L89" i="97"/>
  <c r="L91" i="97" s="1"/>
  <c r="AD249" i="97" s="1"/>
  <c r="J5" i="97"/>
  <c r="J100" i="97"/>
  <c r="K89" i="97"/>
  <c r="K91" i="97" s="1"/>
  <c r="K7" i="97" s="1"/>
  <c r="J89" i="97"/>
  <c r="J91" i="97" s="1"/>
  <c r="J7" i="97" s="1"/>
  <c r="H100" i="97"/>
  <c r="G5" i="97"/>
  <c r="G100" i="97"/>
  <c r="G89" i="97"/>
  <c r="G91" i="97" s="1"/>
  <c r="Y249" i="97" s="1"/>
  <c r="E100" i="97"/>
  <c r="H89" i="97"/>
  <c r="H91" i="97" s="1"/>
  <c r="H7" i="97" s="1"/>
  <c r="I89" i="97"/>
  <c r="I91" i="97" s="1"/>
  <c r="I92" i="97" s="1"/>
  <c r="E89" i="97"/>
  <c r="E91" i="97" s="1"/>
  <c r="W249" i="97" s="1"/>
  <c r="C5" i="97"/>
  <c r="D89" i="97"/>
  <c r="D91" i="97" s="1"/>
  <c r="D7" i="97" s="1"/>
  <c r="C89" i="97"/>
  <c r="C91" i="97" s="1"/>
  <c r="C92" i="97" s="1"/>
  <c r="AI99" i="97"/>
  <c r="B5" i="97"/>
  <c r="AI84" i="97"/>
  <c r="AI54" i="97"/>
  <c r="AI68" i="97"/>
  <c r="X89" i="97"/>
  <c r="X91" i="97" s="1"/>
  <c r="AP249" i="97" s="1"/>
  <c r="AF5" i="97"/>
  <c r="B100" i="97"/>
  <c r="B89" i="97"/>
  <c r="D246" i="97"/>
  <c r="D92" i="97"/>
  <c r="L92" i="97"/>
  <c r="L7" i="97"/>
  <c r="T92" i="97"/>
  <c r="T7" i="97"/>
  <c r="AL249" i="97"/>
  <c r="AB7" i="97"/>
  <c r="AT249" i="97"/>
  <c r="U7" i="97"/>
  <c r="AM249" i="97"/>
  <c r="U92" i="97"/>
  <c r="AC7" i="97"/>
  <c r="AU249" i="97"/>
  <c r="C7" i="97"/>
  <c r="AG6" i="97"/>
  <c r="AG249" i="97"/>
  <c r="O7" i="97"/>
  <c r="O92" i="97"/>
  <c r="AO249" i="97"/>
  <c r="W92" i="97"/>
  <c r="W7" i="97"/>
  <c r="AW249" i="97"/>
  <c r="AE7" i="97"/>
  <c r="K92" i="97"/>
  <c r="AC249" i="97"/>
  <c r="S92" i="97"/>
  <c r="S7" i="97"/>
  <c r="AK249" i="97"/>
  <c r="AF7" i="97"/>
  <c r="AX249" i="97"/>
  <c r="Y92" i="97"/>
  <c r="Y7" i="97"/>
  <c r="AQ249" i="97"/>
  <c r="AG89" i="97"/>
  <c r="AA92" i="97"/>
  <c r="AA7" i="97"/>
  <c r="AS249" i="97"/>
  <c r="G229" i="97"/>
  <c r="J232" i="97"/>
  <c r="K232" i="97" s="1"/>
  <c r="L232" i="97" s="1"/>
  <c r="M232" i="97" s="1"/>
  <c r="N232" i="97" s="1"/>
  <c r="O232" i="97" s="1"/>
  <c r="P232" i="97" s="1"/>
  <c r="P92" i="97"/>
  <c r="AH249" i="97"/>
  <c r="P7" i="97"/>
  <c r="Q92" i="97"/>
  <c r="Q7" i="97"/>
  <c r="AI249" i="97"/>
  <c r="B91" i="97"/>
  <c r="J92" i="97"/>
  <c r="AB249" i="97"/>
  <c r="R92" i="97"/>
  <c r="R7" i="97"/>
  <c r="AJ249" i="97"/>
  <c r="Z7" i="97"/>
  <c r="Z92" i="97"/>
  <c r="AR249" i="97"/>
  <c r="N7" i="97"/>
  <c r="AF249" i="97"/>
  <c r="N92" i="97"/>
  <c r="V7" i="97"/>
  <c r="AN249" i="97"/>
  <c r="V92" i="97"/>
  <c r="AD7" i="97"/>
  <c r="AV249" i="97"/>
  <c r="AG91" i="97"/>
  <c r="AH54" i="97"/>
  <c r="AI50" i="97"/>
  <c r="AH99" i="97"/>
  <c r="E110" i="97"/>
  <c r="E230" i="97"/>
  <c r="E234" i="97"/>
  <c r="I100" i="97"/>
  <c r="Q100" i="97"/>
  <c r="Y100" i="97"/>
  <c r="F89" i="97"/>
  <c r="F91" i="97" s="1"/>
  <c r="E5" i="97"/>
  <c r="M5" i="97"/>
  <c r="U5" i="97"/>
  <c r="AC5" i="97"/>
  <c r="AH72" i="97"/>
  <c r="AH84" i="97"/>
  <c r="AH50" i="97"/>
  <c r="AH68" i="97"/>
  <c r="H229" i="98" l="1"/>
  <c r="G235" i="98"/>
  <c r="G270" i="98"/>
  <c r="I234" i="98"/>
  <c r="AI92" i="98"/>
  <c r="AH92" i="98"/>
  <c r="X7" i="97"/>
  <c r="X92" i="97"/>
  <c r="AE249" i="97"/>
  <c r="M7" i="97"/>
  <c r="AH100" i="97"/>
  <c r="G7" i="97"/>
  <c r="AA249" i="97"/>
  <c r="H92" i="97"/>
  <c r="Z249" i="97"/>
  <c r="C244" i="97"/>
  <c r="G92" i="97"/>
  <c r="I7" i="97"/>
  <c r="B244" i="97"/>
  <c r="E7" i="97"/>
  <c r="E92" i="97"/>
  <c r="V249" i="97"/>
  <c r="U249" i="97"/>
  <c r="AI100" i="97"/>
  <c r="D270" i="97"/>
  <c r="F234" i="97"/>
  <c r="F230" i="97"/>
  <c r="E235" i="97"/>
  <c r="AI89" i="97"/>
  <c r="H229" i="97"/>
  <c r="F7" i="97"/>
  <c r="X249" i="97"/>
  <c r="F92" i="97"/>
  <c r="B92" i="97"/>
  <c r="AI91" i="97"/>
  <c r="B7" i="97"/>
  <c r="AH91" i="97"/>
  <c r="T249" i="97"/>
  <c r="AH89" i="97"/>
  <c r="H270" i="98" l="1"/>
  <c r="J234" i="98"/>
  <c r="I229" i="98"/>
  <c r="H235" i="98"/>
  <c r="K6" i="97"/>
  <c r="A7" i="97"/>
  <c r="G230" i="97"/>
  <c r="F235" i="97"/>
  <c r="I229" i="97"/>
  <c r="AI92" i="97"/>
  <c r="AH92" i="97"/>
  <c r="E270" i="97"/>
  <c r="G234" i="97"/>
  <c r="F110" i="97"/>
  <c r="I110" i="98" l="1"/>
  <c r="J229" i="98"/>
  <c r="K234" i="98"/>
  <c r="I270" i="98"/>
  <c r="J229" i="97"/>
  <c r="F270" i="97"/>
  <c r="H234" i="97"/>
  <c r="G110" i="97"/>
  <c r="H230" i="97"/>
  <c r="G235" i="97"/>
  <c r="J270" i="98" l="1"/>
  <c r="L234" i="98"/>
  <c r="K229" i="98"/>
  <c r="G270" i="97"/>
  <c r="I234" i="97"/>
  <c r="H110" i="97"/>
  <c r="K229" i="97"/>
  <c r="I230" i="97"/>
  <c r="H235" i="97"/>
  <c r="L229" i="98" l="1"/>
  <c r="M234" i="98"/>
  <c r="K270" i="98"/>
  <c r="H270" i="97"/>
  <c r="J234" i="97"/>
  <c r="I110" i="97"/>
  <c r="J230" i="97"/>
  <c r="L229" i="97"/>
  <c r="L270" i="98" l="1"/>
  <c r="N234" i="98"/>
  <c r="M229" i="98"/>
  <c r="K230" i="97"/>
  <c r="K234" i="97"/>
  <c r="I270" i="97"/>
  <c r="J110" i="97"/>
  <c r="M229" i="97"/>
  <c r="M110" i="98" l="1"/>
  <c r="N229" i="98"/>
  <c r="M270" i="98"/>
  <c r="O234" i="98"/>
  <c r="J270" i="97"/>
  <c r="L234" i="97"/>
  <c r="K110" i="97"/>
  <c r="N229" i="97"/>
  <c r="L230" i="97"/>
  <c r="N270" i="98" l="1"/>
  <c r="P234" i="98"/>
  <c r="O270" i="98" s="1"/>
  <c r="O229" i="98"/>
  <c r="N110" i="98"/>
  <c r="K270" i="97"/>
  <c r="M234" i="97"/>
  <c r="L110" i="97"/>
  <c r="M230" i="97"/>
  <c r="O229" i="97"/>
  <c r="P229" i="98" l="1"/>
  <c r="O110" i="98"/>
  <c r="P229" i="97"/>
  <c r="L270" i="97"/>
  <c r="N234" i="97"/>
  <c r="M110" i="97"/>
  <c r="N230" i="97"/>
  <c r="AI110" i="98" l="1"/>
  <c r="AH110" i="98"/>
  <c r="O230" i="97"/>
  <c r="M270" i="97"/>
  <c r="O234" i="97"/>
  <c r="N110" i="97"/>
  <c r="N270" i="97" l="1"/>
  <c r="P234" i="97"/>
  <c r="O270" i="97" s="1"/>
  <c r="O110" i="97"/>
  <c r="P230" i="97"/>
  <c r="AI110" i="97" l="1"/>
  <c r="AH110" i="97"/>
  <c r="T23" i="96" l="1"/>
  <c r="T49" i="96"/>
  <c r="S23" i="96" l="1"/>
  <c r="S49" i="96"/>
  <c r="Q113" i="96"/>
  <c r="R113" i="96"/>
  <c r="R49" i="96"/>
  <c r="R23" i="96"/>
  <c r="Q23" i="96"/>
  <c r="P113" i="96" l="1"/>
  <c r="P49" i="96"/>
  <c r="P23" i="96"/>
  <c r="O113" i="96"/>
  <c r="O49" i="96"/>
  <c r="O23" i="96"/>
  <c r="N113" i="96"/>
  <c r="N49" i="96"/>
  <c r="N23" i="96"/>
  <c r="Y54" i="95"/>
  <c r="Y68" i="95"/>
  <c r="Y84" i="95"/>
  <c r="Y89" i="95"/>
  <c r="M113" i="96" l="1"/>
  <c r="M49" i="96"/>
  <c r="L49" i="96"/>
  <c r="K49" i="96" l="1"/>
  <c r="J49" i="96"/>
  <c r="I49" i="96"/>
  <c r="H49" i="96"/>
  <c r="AE49" i="95"/>
  <c r="AD49" i="95"/>
  <c r="AD50" i="95"/>
  <c r="AD54" i="95"/>
  <c r="AF274" i="96"/>
  <c r="AE274" i="96"/>
  <c r="AD274" i="96"/>
  <c r="AC274" i="96"/>
  <c r="AB274" i="96"/>
  <c r="AA274" i="96"/>
  <c r="Z274" i="96"/>
  <c r="Y274" i="96"/>
  <c r="X274" i="96"/>
  <c r="W274" i="96"/>
  <c r="V274" i="96"/>
  <c r="U274" i="96"/>
  <c r="T274" i="96"/>
  <c r="S274" i="96"/>
  <c r="R274" i="96"/>
  <c r="Q274" i="96"/>
  <c r="P274" i="96"/>
  <c r="O274" i="96"/>
  <c r="N274" i="96"/>
  <c r="M274" i="96"/>
  <c r="L274" i="96"/>
  <c r="K274" i="96"/>
  <c r="J274" i="96"/>
  <c r="I274" i="96"/>
  <c r="H274" i="96"/>
  <c r="G274" i="96"/>
  <c r="F274" i="96"/>
  <c r="E274" i="96"/>
  <c r="D274" i="96"/>
  <c r="C274" i="96"/>
  <c r="B274" i="96"/>
  <c r="A274" i="96"/>
  <c r="AF273" i="96"/>
  <c r="AE273" i="96"/>
  <c r="AD273" i="96"/>
  <c r="AC273" i="96"/>
  <c r="AB273" i="96"/>
  <c r="AA273" i="96"/>
  <c r="Z273" i="96"/>
  <c r="Y273" i="96"/>
  <c r="X273" i="96"/>
  <c r="W273" i="96"/>
  <c r="V273" i="96"/>
  <c r="U273" i="96"/>
  <c r="T273" i="96"/>
  <c r="S273" i="96"/>
  <c r="R273" i="96"/>
  <c r="Q273" i="96"/>
  <c r="P273" i="96"/>
  <c r="O273" i="96"/>
  <c r="N273" i="96"/>
  <c r="M273" i="96"/>
  <c r="L273" i="96"/>
  <c r="K273" i="96"/>
  <c r="J273" i="96"/>
  <c r="I273" i="96"/>
  <c r="H273" i="96"/>
  <c r="G273" i="96"/>
  <c r="F273" i="96"/>
  <c r="E273" i="96"/>
  <c r="D273" i="96"/>
  <c r="C273" i="96"/>
  <c r="B273" i="96"/>
  <c r="A273" i="96"/>
  <c r="AF272" i="96"/>
  <c r="AE272" i="96"/>
  <c r="AD272" i="96"/>
  <c r="AC272" i="96"/>
  <c r="AB272" i="96"/>
  <c r="AA272" i="96"/>
  <c r="Z272" i="96"/>
  <c r="Y272" i="96"/>
  <c r="X272" i="96"/>
  <c r="W272" i="96"/>
  <c r="V272" i="96"/>
  <c r="U272" i="96"/>
  <c r="T272" i="96"/>
  <c r="S272" i="96"/>
  <c r="R272" i="96"/>
  <c r="Q272" i="96"/>
  <c r="P272" i="96"/>
  <c r="O272" i="96"/>
  <c r="N272" i="96"/>
  <c r="M272" i="96"/>
  <c r="L272" i="96"/>
  <c r="K272" i="96"/>
  <c r="J272" i="96"/>
  <c r="I272" i="96"/>
  <c r="H272" i="96"/>
  <c r="G272" i="96"/>
  <c r="F272" i="96"/>
  <c r="E272" i="96"/>
  <c r="D272" i="96"/>
  <c r="C272" i="96"/>
  <c r="B272" i="96"/>
  <c r="A272" i="96"/>
  <c r="AF271" i="96"/>
  <c r="AE271" i="96"/>
  <c r="AD271" i="96"/>
  <c r="AC271" i="96"/>
  <c r="AB271" i="96"/>
  <c r="AA271" i="96"/>
  <c r="Z271" i="96"/>
  <c r="Y271" i="96"/>
  <c r="X271" i="96"/>
  <c r="W271" i="96"/>
  <c r="V271" i="96"/>
  <c r="U271" i="96"/>
  <c r="T271" i="96"/>
  <c r="S271" i="96"/>
  <c r="R271" i="96"/>
  <c r="Q271" i="96"/>
  <c r="P271" i="96"/>
  <c r="O271" i="96"/>
  <c r="N271" i="96"/>
  <c r="M271" i="96"/>
  <c r="L271" i="96"/>
  <c r="K271" i="96"/>
  <c r="J271" i="96"/>
  <c r="I271" i="96"/>
  <c r="H271" i="96"/>
  <c r="G271" i="96"/>
  <c r="F271" i="96"/>
  <c r="E271" i="96"/>
  <c r="D271" i="96"/>
  <c r="C271" i="96"/>
  <c r="B271" i="96"/>
  <c r="A271" i="96"/>
  <c r="AE270" i="96"/>
  <c r="AD270" i="96"/>
  <c r="AC270" i="96"/>
  <c r="AB270" i="96"/>
  <c r="AA270" i="96"/>
  <c r="Z270" i="96"/>
  <c r="Y270" i="96"/>
  <c r="X270" i="96"/>
  <c r="W270" i="96"/>
  <c r="V270" i="96"/>
  <c r="U270" i="96"/>
  <c r="T270" i="96"/>
  <c r="S270" i="96"/>
  <c r="R270" i="96"/>
  <c r="Q270" i="96"/>
  <c r="P270" i="96"/>
  <c r="B270" i="96"/>
  <c r="S245" i="96"/>
  <c r="AG235" i="96"/>
  <c r="AF235" i="96"/>
  <c r="AE235" i="96"/>
  <c r="AD235" i="96"/>
  <c r="AC235" i="96"/>
  <c r="AB235" i="96"/>
  <c r="AA235" i="96"/>
  <c r="Z235" i="96"/>
  <c r="Y235" i="96"/>
  <c r="X235" i="96"/>
  <c r="W235" i="96"/>
  <c r="V235" i="96"/>
  <c r="U235" i="96"/>
  <c r="T235" i="96"/>
  <c r="S235" i="96"/>
  <c r="R235" i="96"/>
  <c r="Q235" i="96"/>
  <c r="C235" i="96"/>
  <c r="D234" i="96"/>
  <c r="C270" i="96" s="1"/>
  <c r="B234" i="96"/>
  <c r="AF270" i="96" s="1"/>
  <c r="F233" i="96"/>
  <c r="G233" i="96" s="1"/>
  <c r="H233" i="96" s="1"/>
  <c r="I233" i="96" s="1"/>
  <c r="J233" i="96" s="1"/>
  <c r="K233" i="96" s="1"/>
  <c r="L233" i="96" s="1"/>
  <c r="M233" i="96" s="1"/>
  <c r="N233" i="96" s="1"/>
  <c r="O233" i="96" s="1"/>
  <c r="P233" i="96" s="1"/>
  <c r="E233" i="96"/>
  <c r="D233" i="96"/>
  <c r="B233" i="96"/>
  <c r="D232" i="96"/>
  <c r="E232" i="96" s="1"/>
  <c r="F232" i="96" s="1"/>
  <c r="G232" i="96" s="1"/>
  <c r="H232" i="96" s="1"/>
  <c r="I232" i="96" s="1"/>
  <c r="B232" i="96"/>
  <c r="F231" i="96"/>
  <c r="G231" i="96" s="1"/>
  <c r="H231" i="96" s="1"/>
  <c r="E231" i="96"/>
  <c r="D231" i="96"/>
  <c r="B231" i="96"/>
  <c r="D230" i="96"/>
  <c r="D235" i="96" s="1"/>
  <c r="B230" i="96"/>
  <c r="F229" i="96"/>
  <c r="G229" i="96" s="1"/>
  <c r="E229" i="96"/>
  <c r="D229" i="96"/>
  <c r="B229" i="96"/>
  <c r="B110" i="96" s="1"/>
  <c r="AG227" i="96"/>
  <c r="AF227" i="96"/>
  <c r="AE227" i="96"/>
  <c r="AD227" i="96"/>
  <c r="AC227" i="96"/>
  <c r="AB227" i="96"/>
  <c r="AA227" i="96"/>
  <c r="Z227" i="96"/>
  <c r="Y227" i="96"/>
  <c r="X227" i="96"/>
  <c r="W227" i="96"/>
  <c r="V227" i="96"/>
  <c r="U227" i="96"/>
  <c r="T227" i="96"/>
  <c r="S227" i="96"/>
  <c r="R227" i="96"/>
  <c r="Q227" i="96"/>
  <c r="P227" i="96"/>
  <c r="O227" i="96"/>
  <c r="N227" i="96"/>
  <c r="M227" i="96"/>
  <c r="L227" i="96"/>
  <c r="K227" i="96"/>
  <c r="J227" i="96"/>
  <c r="I227" i="96"/>
  <c r="H227" i="96"/>
  <c r="G227" i="96"/>
  <c r="F227" i="96"/>
  <c r="E227" i="96"/>
  <c r="D227" i="96"/>
  <c r="C227" i="96"/>
  <c r="B227" i="96"/>
  <c r="AI120" i="96"/>
  <c r="AH120" i="96"/>
  <c r="AI119" i="96"/>
  <c r="AH119" i="96"/>
  <c r="AI118" i="96"/>
  <c r="AH118" i="96"/>
  <c r="AI117" i="96"/>
  <c r="AH117" i="96"/>
  <c r="AI116" i="96"/>
  <c r="AH116" i="96"/>
  <c r="AI115" i="96"/>
  <c r="AH115" i="96"/>
  <c r="AI114" i="96"/>
  <c r="AH114" i="96"/>
  <c r="AI113" i="96"/>
  <c r="AH113" i="96"/>
  <c r="AI112" i="96"/>
  <c r="AH112" i="96"/>
  <c r="AI111" i="96"/>
  <c r="AH111" i="96"/>
  <c r="AF110" i="96"/>
  <c r="AE110" i="96"/>
  <c r="AC110" i="96"/>
  <c r="AB110" i="96"/>
  <c r="AA110" i="96"/>
  <c r="Z110" i="96"/>
  <c r="Y110" i="96"/>
  <c r="X110" i="96"/>
  <c r="W110" i="96"/>
  <c r="V110" i="96"/>
  <c r="U110" i="96"/>
  <c r="T110" i="96"/>
  <c r="S110" i="96"/>
  <c r="R110" i="96"/>
  <c r="Q110" i="96"/>
  <c r="D110" i="96"/>
  <c r="C110" i="96"/>
  <c r="AI109" i="96"/>
  <c r="AH109" i="96"/>
  <c r="AI108" i="96"/>
  <c r="AH108" i="96"/>
  <c r="AI107" i="96"/>
  <c r="AH107" i="96"/>
  <c r="AI106" i="96"/>
  <c r="AH106" i="96"/>
  <c r="AI105" i="96"/>
  <c r="AH105" i="96"/>
  <c r="AI104" i="96"/>
  <c r="AH104" i="96"/>
  <c r="AI103" i="96"/>
  <c r="AH103" i="96"/>
  <c r="AI102" i="96"/>
  <c r="AH102" i="96"/>
  <c r="AI101" i="96"/>
  <c r="AH101" i="96"/>
  <c r="AE100" i="96"/>
  <c r="AA100" i="96"/>
  <c r="O100" i="96"/>
  <c r="AF99" i="96"/>
  <c r="AE99" i="96"/>
  <c r="AD99" i="96"/>
  <c r="AC99" i="96"/>
  <c r="AB99" i="96"/>
  <c r="AA99" i="96"/>
  <c r="Z99" i="96"/>
  <c r="Y99" i="96"/>
  <c r="X99" i="96"/>
  <c r="W99" i="96"/>
  <c r="V99" i="96"/>
  <c r="U99" i="96"/>
  <c r="T99" i="96"/>
  <c r="S99" i="96"/>
  <c r="R99" i="96"/>
  <c r="Q99" i="96"/>
  <c r="P99" i="96"/>
  <c r="O99" i="96"/>
  <c r="N99" i="96"/>
  <c r="M99" i="96"/>
  <c r="L99" i="96"/>
  <c r="K99" i="96"/>
  <c r="J99" i="96"/>
  <c r="I99" i="96"/>
  <c r="H99" i="96"/>
  <c r="G99" i="96"/>
  <c r="F99" i="96"/>
  <c r="E99" i="96"/>
  <c r="D99" i="96"/>
  <c r="C99" i="96"/>
  <c r="B99" i="96"/>
  <c r="AI98" i="96"/>
  <c r="AH98" i="96"/>
  <c r="AI97" i="96"/>
  <c r="AH97" i="96"/>
  <c r="AI96" i="96"/>
  <c r="AH96" i="96"/>
  <c r="AI95" i="96"/>
  <c r="AH95" i="96"/>
  <c r="AI94" i="96"/>
  <c r="AH94" i="96"/>
  <c r="AI93" i="96"/>
  <c r="AH93" i="96"/>
  <c r="AI90" i="96"/>
  <c r="AH90" i="96"/>
  <c r="AI88" i="96"/>
  <c r="AH88" i="96"/>
  <c r="AG88" i="96"/>
  <c r="AG91" i="96" s="1"/>
  <c r="AI87" i="96"/>
  <c r="AH87" i="96"/>
  <c r="AI86" i="96"/>
  <c r="AH86" i="96"/>
  <c r="AI85" i="96"/>
  <c r="AH85" i="96"/>
  <c r="AG84" i="96"/>
  <c r="AF84" i="96"/>
  <c r="AE5" i="96" s="1"/>
  <c r="AE84" i="96"/>
  <c r="AD5" i="96" s="1"/>
  <c r="AD84" i="96"/>
  <c r="AD100" i="96" s="1"/>
  <c r="AC84" i="96"/>
  <c r="AB84" i="96"/>
  <c r="AB100" i="96" s="1"/>
  <c r="AA84" i="96"/>
  <c r="Z5" i="96" s="1"/>
  <c r="Z84" i="96"/>
  <c r="Z100" i="96" s="1"/>
  <c r="Y84" i="96"/>
  <c r="Y100" i="96" s="1"/>
  <c r="X84" i="96"/>
  <c r="W84" i="96"/>
  <c r="V5" i="96" s="1"/>
  <c r="V84" i="96"/>
  <c r="V100" i="96" s="1"/>
  <c r="U84" i="96"/>
  <c r="U100" i="96" s="1"/>
  <c r="T84" i="96"/>
  <c r="T100" i="96" s="1"/>
  <c r="S84" i="96"/>
  <c r="S100" i="96" s="1"/>
  <c r="R84" i="96"/>
  <c r="R100" i="96" s="1"/>
  <c r="Q84" i="96"/>
  <c r="P84" i="96"/>
  <c r="O5" i="96" s="1"/>
  <c r="O84" i="96"/>
  <c r="N5" i="96" s="1"/>
  <c r="N84" i="96"/>
  <c r="N100" i="96" s="1"/>
  <c r="M84" i="96"/>
  <c r="M100" i="96" s="1"/>
  <c r="L84" i="96"/>
  <c r="L100" i="96" s="1"/>
  <c r="K84" i="96"/>
  <c r="K100" i="96" s="1"/>
  <c r="J84" i="96"/>
  <c r="J100" i="96" s="1"/>
  <c r="I84" i="96"/>
  <c r="I100" i="96" s="1"/>
  <c r="H84" i="96"/>
  <c r="G5" i="96" s="1"/>
  <c r="G84" i="96"/>
  <c r="F5" i="96" s="1"/>
  <c r="F84" i="96"/>
  <c r="F100" i="96" s="1"/>
  <c r="E84" i="96"/>
  <c r="E100" i="96" s="1"/>
  <c r="D84" i="96"/>
  <c r="D100" i="96" s="1"/>
  <c r="C84" i="96"/>
  <c r="B84" i="96"/>
  <c r="AI83" i="96"/>
  <c r="AH83" i="96"/>
  <c r="AI82" i="96"/>
  <c r="AH82" i="96"/>
  <c r="AI81" i="96"/>
  <c r="AH81" i="96"/>
  <c r="AI80" i="96"/>
  <c r="AH80" i="96"/>
  <c r="AI79" i="96"/>
  <c r="AH79" i="96"/>
  <c r="AI78" i="96"/>
  <c r="AH78" i="96"/>
  <c r="AI77" i="96"/>
  <c r="AH77" i="96"/>
  <c r="AI76" i="96"/>
  <c r="AH76" i="96"/>
  <c r="AI75" i="96"/>
  <c r="AH75" i="96"/>
  <c r="AI74" i="96"/>
  <c r="AH74" i="96"/>
  <c r="AI73" i="96"/>
  <c r="AH73" i="96"/>
  <c r="AG72" i="96"/>
  <c r="AF72" i="96"/>
  <c r="AE72" i="96"/>
  <c r="AD72" i="96"/>
  <c r="AC72" i="96"/>
  <c r="AB72" i="96"/>
  <c r="AA72" i="96"/>
  <c r="Z72" i="96"/>
  <c r="Y72" i="96"/>
  <c r="X72" i="96"/>
  <c r="W72" i="96"/>
  <c r="V72" i="96"/>
  <c r="U72" i="96"/>
  <c r="T72" i="96"/>
  <c r="S72" i="96"/>
  <c r="R72" i="96"/>
  <c r="Q72" i="96"/>
  <c r="P72" i="96"/>
  <c r="O72" i="96"/>
  <c r="N72" i="96"/>
  <c r="M72" i="96"/>
  <c r="L72" i="96"/>
  <c r="B72" i="96"/>
  <c r="AI71" i="96"/>
  <c r="AH71" i="96"/>
  <c r="AI70" i="96"/>
  <c r="AH70" i="96"/>
  <c r="AI69" i="96"/>
  <c r="AH69" i="96"/>
  <c r="AG68" i="96"/>
  <c r="AG3" i="96" s="1"/>
  <c r="AF68" i="96"/>
  <c r="AE68" i="96"/>
  <c r="AD68" i="96"/>
  <c r="AC68" i="96"/>
  <c r="AB68" i="96"/>
  <c r="AA68" i="96"/>
  <c r="Z68" i="96"/>
  <c r="Y68" i="96"/>
  <c r="X68" i="96"/>
  <c r="W68" i="96"/>
  <c r="V68" i="96"/>
  <c r="U68" i="96"/>
  <c r="T68" i="96"/>
  <c r="S68" i="96"/>
  <c r="R68" i="96"/>
  <c r="Q68" i="96"/>
  <c r="P68" i="96"/>
  <c r="O68" i="96"/>
  <c r="N68" i="96"/>
  <c r="M68" i="96"/>
  <c r="L68" i="96"/>
  <c r="K68" i="96"/>
  <c r="J68" i="96"/>
  <c r="I68" i="96"/>
  <c r="H68" i="96"/>
  <c r="G68" i="96"/>
  <c r="F68" i="96"/>
  <c r="E68" i="96"/>
  <c r="D68" i="96"/>
  <c r="C68" i="96"/>
  <c r="B68" i="96"/>
  <c r="AI67" i="96"/>
  <c r="AH67" i="96"/>
  <c r="AG67" i="96"/>
  <c r="AI66" i="96"/>
  <c r="AH66" i="96"/>
  <c r="AI65" i="96"/>
  <c r="AH65" i="96"/>
  <c r="AI64" i="96"/>
  <c r="AH64" i="96"/>
  <c r="AI63" i="96"/>
  <c r="AH63" i="96"/>
  <c r="AI62" i="96"/>
  <c r="AH62" i="96"/>
  <c r="AI61" i="96"/>
  <c r="AH61" i="96"/>
  <c r="AI60" i="96"/>
  <c r="AH60" i="96"/>
  <c r="AI59" i="96"/>
  <c r="AH59" i="96"/>
  <c r="AI58" i="96"/>
  <c r="AH58" i="96"/>
  <c r="AI57" i="96"/>
  <c r="AH57" i="96"/>
  <c r="AI56" i="96"/>
  <c r="AH56" i="96"/>
  <c r="AI55" i="96"/>
  <c r="AH55" i="96"/>
  <c r="AG54" i="96"/>
  <c r="AF54" i="96"/>
  <c r="AE54" i="96"/>
  <c r="AD54" i="96"/>
  <c r="AC54" i="96"/>
  <c r="AB54" i="96"/>
  <c r="AA54" i="96"/>
  <c r="Z54" i="96"/>
  <c r="Y54" i="96"/>
  <c r="X54" i="96"/>
  <c r="W54" i="96"/>
  <c r="V54" i="96"/>
  <c r="U54" i="96"/>
  <c r="T54" i="96"/>
  <c r="S54" i="96"/>
  <c r="R54" i="96"/>
  <c r="Q54" i="96"/>
  <c r="P54" i="96"/>
  <c r="O54" i="96"/>
  <c r="N54" i="96"/>
  <c r="M54" i="96"/>
  <c r="L54" i="96"/>
  <c r="K54" i="96"/>
  <c r="J54" i="96"/>
  <c r="I54" i="96"/>
  <c r="H54" i="96"/>
  <c r="G54" i="96"/>
  <c r="F54" i="96"/>
  <c r="E54" i="96"/>
  <c r="D54" i="96"/>
  <c r="C54" i="96"/>
  <c r="B54" i="96"/>
  <c r="AI53" i="96"/>
  <c r="AH53" i="96"/>
  <c r="AI52" i="96"/>
  <c r="AH52" i="96"/>
  <c r="AI51" i="96"/>
  <c r="AH51" i="96"/>
  <c r="AG50" i="96"/>
  <c r="AG89" i="96" s="1"/>
  <c r="AF50" i="96"/>
  <c r="AE50" i="96"/>
  <c r="AD50" i="96"/>
  <c r="AC50" i="96"/>
  <c r="AB50" i="96"/>
  <c r="AA50" i="96"/>
  <c r="Z50" i="96"/>
  <c r="Y50" i="96"/>
  <c r="X50" i="96"/>
  <c r="W50" i="96"/>
  <c r="V50" i="96"/>
  <c r="U50" i="96"/>
  <c r="T50" i="96"/>
  <c r="S50" i="96"/>
  <c r="R50" i="96"/>
  <c r="Q50" i="96"/>
  <c r="P50" i="96"/>
  <c r="O50" i="96"/>
  <c r="N50" i="96"/>
  <c r="M50" i="96"/>
  <c r="L50" i="96"/>
  <c r="K50" i="96"/>
  <c r="J50" i="96"/>
  <c r="I50" i="96"/>
  <c r="H50" i="96"/>
  <c r="G50" i="96"/>
  <c r="F50" i="96"/>
  <c r="E50" i="96"/>
  <c r="D50" i="96"/>
  <c r="C50" i="96"/>
  <c r="B50" i="96"/>
  <c r="AI48" i="96"/>
  <c r="AH48" i="96"/>
  <c r="AI47" i="96"/>
  <c r="AH47" i="96"/>
  <c r="AI46" i="96"/>
  <c r="AH46" i="96"/>
  <c r="AI45" i="96"/>
  <c r="AH45" i="96"/>
  <c r="AI44" i="96"/>
  <c r="AH44" i="96"/>
  <c r="AI43" i="96"/>
  <c r="AH43" i="96"/>
  <c r="AI42" i="96"/>
  <c r="AH42" i="96"/>
  <c r="AI41" i="96"/>
  <c r="AH41" i="96"/>
  <c r="AI40" i="96"/>
  <c r="AH40" i="96"/>
  <c r="AI39" i="96"/>
  <c r="AH39" i="96"/>
  <c r="AI38" i="96"/>
  <c r="AH38" i="96"/>
  <c r="AI37" i="96"/>
  <c r="AH37" i="96"/>
  <c r="AI36" i="96"/>
  <c r="AH36" i="96"/>
  <c r="AI35" i="96"/>
  <c r="AH35" i="96"/>
  <c r="AI34" i="96"/>
  <c r="AH34" i="96"/>
  <c r="AI33" i="96"/>
  <c r="AH33" i="96"/>
  <c r="AI32" i="96"/>
  <c r="AH32" i="96"/>
  <c r="AI31" i="96"/>
  <c r="AH31" i="96"/>
  <c r="AI30" i="96"/>
  <c r="AH30" i="96"/>
  <c r="AI29" i="96"/>
  <c r="AH29" i="96"/>
  <c r="AI28" i="96"/>
  <c r="AH28" i="96"/>
  <c r="AI27" i="96"/>
  <c r="AH27" i="96"/>
  <c r="AI26" i="96"/>
  <c r="AH26" i="96"/>
  <c r="AI25" i="96"/>
  <c r="AH25" i="96"/>
  <c r="AI24" i="96"/>
  <c r="AH24" i="96"/>
  <c r="AI23" i="96"/>
  <c r="AH23" i="96"/>
  <c r="AI22" i="96"/>
  <c r="AH22" i="96"/>
  <c r="AI21" i="96"/>
  <c r="AH21" i="96"/>
  <c r="AI20" i="96"/>
  <c r="AH20" i="96"/>
  <c r="AI19" i="96"/>
  <c r="AH19" i="96"/>
  <c r="AI18" i="96"/>
  <c r="AH18" i="96"/>
  <c r="AI17" i="96"/>
  <c r="AH17" i="96"/>
  <c r="AI16" i="96"/>
  <c r="AH16" i="96"/>
  <c r="AI15" i="96"/>
  <c r="AH15" i="96"/>
  <c r="AI14" i="96"/>
  <c r="AH14" i="96"/>
  <c r="AI13" i="96"/>
  <c r="AH13" i="96"/>
  <c r="AI12" i="96"/>
  <c r="AH12" i="96"/>
  <c r="AI11" i="96"/>
  <c r="AH11" i="96"/>
  <c r="X5" i="96"/>
  <c r="W5" i="96"/>
  <c r="R5" i="96"/>
  <c r="P5" i="96"/>
  <c r="AG4" i="96"/>
  <c r="K4" i="96"/>
  <c r="E4" i="96"/>
  <c r="H4" i="96" s="1"/>
  <c r="B4" i="96"/>
  <c r="S246" i="96" s="1"/>
  <c r="AI27" i="95"/>
  <c r="AC49" i="95"/>
  <c r="AC23" i="95"/>
  <c r="AC27" i="95"/>
  <c r="AB23" i="95"/>
  <c r="AB27" i="95"/>
  <c r="AB49" i="95"/>
  <c r="AA113" i="95"/>
  <c r="AA27" i="95"/>
  <c r="AA23" i="95"/>
  <c r="AA49" i="95"/>
  <c r="Z113" i="95"/>
  <c r="Z49" i="95"/>
  <c r="X113" i="95"/>
  <c r="X49" i="95"/>
  <c r="W113" i="95"/>
  <c r="W49" i="95"/>
  <c r="U113" i="95"/>
  <c r="V113" i="95"/>
  <c r="V49" i="95"/>
  <c r="T113" i="95"/>
  <c r="T50" i="95"/>
  <c r="T49" i="95"/>
  <c r="S113" i="95"/>
  <c r="S49" i="95"/>
  <c r="Q49" i="95"/>
  <c r="R49" i="95"/>
  <c r="N49" i="95"/>
  <c r="O49" i="95"/>
  <c r="M49" i="95"/>
  <c r="L113" i="95"/>
  <c r="L49" i="95"/>
  <c r="K113" i="95"/>
  <c r="K49" i="95"/>
  <c r="J113" i="95"/>
  <c r="J49" i="95"/>
  <c r="I113" i="95"/>
  <c r="I49" i="95"/>
  <c r="H113" i="95"/>
  <c r="H49" i="95"/>
  <c r="G113" i="95"/>
  <c r="G49" i="95"/>
  <c r="F113" i="95"/>
  <c r="F49" i="95"/>
  <c r="E113" i="95"/>
  <c r="E49" i="95"/>
  <c r="D113" i="95"/>
  <c r="D49" i="95"/>
  <c r="D50" i="95"/>
  <c r="D54" i="95"/>
  <c r="D68" i="95"/>
  <c r="D72" i="95"/>
  <c r="D84" i="95"/>
  <c r="D100" i="95" s="1"/>
  <c r="D99" i="95"/>
  <c r="D110" i="95"/>
  <c r="C113" i="95"/>
  <c r="C49" i="95"/>
  <c r="B49" i="95"/>
  <c r="C50" i="95"/>
  <c r="C54" i="95"/>
  <c r="C68" i="95"/>
  <c r="C72" i="95"/>
  <c r="C84" i="95"/>
  <c r="C99" i="95"/>
  <c r="B113" i="95"/>
  <c r="B110" i="95"/>
  <c r="B99" i="95"/>
  <c r="B84" i="95"/>
  <c r="B72" i="95"/>
  <c r="B68" i="95"/>
  <c r="B54" i="95"/>
  <c r="B50" i="95"/>
  <c r="AF274" i="95"/>
  <c r="AE274" i="95"/>
  <c r="AD274" i="95"/>
  <c r="AC274" i="95"/>
  <c r="AB274" i="95"/>
  <c r="AA274" i="95"/>
  <c r="Z274" i="95"/>
  <c r="Y274" i="95"/>
  <c r="X274" i="95"/>
  <c r="W274" i="95"/>
  <c r="V274" i="95"/>
  <c r="U274" i="95"/>
  <c r="T274" i="95"/>
  <c r="S274" i="95"/>
  <c r="R274" i="95"/>
  <c r="Q274" i="95"/>
  <c r="P274" i="95"/>
  <c r="O274" i="95"/>
  <c r="N274" i="95"/>
  <c r="M274" i="95"/>
  <c r="L274" i="95"/>
  <c r="K274" i="95"/>
  <c r="J274" i="95"/>
  <c r="I274" i="95"/>
  <c r="H274" i="95"/>
  <c r="G274" i="95"/>
  <c r="F274" i="95"/>
  <c r="E274" i="95"/>
  <c r="D274" i="95"/>
  <c r="C274" i="95"/>
  <c r="B274" i="95"/>
  <c r="A274" i="95"/>
  <c r="AF273" i="95"/>
  <c r="AE273" i="95"/>
  <c r="AD273" i="95"/>
  <c r="AC273" i="95"/>
  <c r="AB273" i="95"/>
  <c r="AA273" i="95"/>
  <c r="Z273" i="95"/>
  <c r="Y273" i="95"/>
  <c r="X273" i="95"/>
  <c r="W273" i="95"/>
  <c r="V273" i="95"/>
  <c r="U273" i="95"/>
  <c r="T273" i="95"/>
  <c r="S273" i="95"/>
  <c r="R273" i="95"/>
  <c r="Q273" i="95"/>
  <c r="P273" i="95"/>
  <c r="O273" i="95"/>
  <c r="N273" i="95"/>
  <c r="M273" i="95"/>
  <c r="L273" i="95"/>
  <c r="K273" i="95"/>
  <c r="J273" i="95"/>
  <c r="I273" i="95"/>
  <c r="H273" i="95"/>
  <c r="G273" i="95"/>
  <c r="F273" i="95"/>
  <c r="E273" i="95"/>
  <c r="D273" i="95"/>
  <c r="C273" i="95"/>
  <c r="B273" i="95"/>
  <c r="A273" i="95"/>
  <c r="AF272" i="95"/>
  <c r="AE272" i="95"/>
  <c r="AD272" i="95"/>
  <c r="AC272" i="95"/>
  <c r="AB272" i="95"/>
  <c r="AA272" i="95"/>
  <c r="Z272" i="95"/>
  <c r="Y272" i="95"/>
  <c r="X272" i="95"/>
  <c r="W272" i="95"/>
  <c r="V272" i="95"/>
  <c r="U272" i="95"/>
  <c r="T272" i="95"/>
  <c r="S272" i="95"/>
  <c r="R272" i="95"/>
  <c r="Q272" i="95"/>
  <c r="P272" i="95"/>
  <c r="O272" i="95"/>
  <c r="N272" i="95"/>
  <c r="M272" i="95"/>
  <c r="L272" i="95"/>
  <c r="K272" i="95"/>
  <c r="J272" i="95"/>
  <c r="I272" i="95"/>
  <c r="H272" i="95"/>
  <c r="G272" i="95"/>
  <c r="F272" i="95"/>
  <c r="E272" i="95"/>
  <c r="D272" i="95"/>
  <c r="C272" i="95"/>
  <c r="B272" i="95"/>
  <c r="A272" i="95"/>
  <c r="AF271" i="95"/>
  <c r="AE271" i="95"/>
  <c r="AD271" i="95"/>
  <c r="AC271" i="95"/>
  <c r="AB271" i="95"/>
  <c r="AA271" i="95"/>
  <c r="Z271" i="95"/>
  <c r="Y271" i="95"/>
  <c r="X271" i="95"/>
  <c r="W271" i="95"/>
  <c r="V271" i="95"/>
  <c r="U271" i="95"/>
  <c r="T271" i="95"/>
  <c r="S271" i="95"/>
  <c r="R271" i="95"/>
  <c r="Q271" i="95"/>
  <c r="P271" i="95"/>
  <c r="O271" i="95"/>
  <c r="N271" i="95"/>
  <c r="M271" i="95"/>
  <c r="L271" i="95"/>
  <c r="K271" i="95"/>
  <c r="J271" i="95"/>
  <c r="I271" i="95"/>
  <c r="H271" i="95"/>
  <c r="G271" i="95"/>
  <c r="F271" i="95"/>
  <c r="E271" i="95"/>
  <c r="D271" i="95"/>
  <c r="C271" i="95"/>
  <c r="B271" i="95"/>
  <c r="A271" i="95"/>
  <c r="AE270" i="95"/>
  <c r="AD270" i="95"/>
  <c r="AC270" i="95"/>
  <c r="AB270" i="95"/>
  <c r="AA270" i="95"/>
  <c r="Z270" i="95"/>
  <c r="Y270" i="95"/>
  <c r="X270" i="95"/>
  <c r="W270" i="95"/>
  <c r="V270" i="95"/>
  <c r="U270" i="95"/>
  <c r="T270" i="95"/>
  <c r="S270" i="95"/>
  <c r="R270" i="95"/>
  <c r="Q270" i="95"/>
  <c r="P270" i="95"/>
  <c r="B270" i="95"/>
  <c r="S245" i="95"/>
  <c r="AG235" i="95"/>
  <c r="AF235" i="95"/>
  <c r="AE235" i="95"/>
  <c r="AD235" i="95"/>
  <c r="AC235" i="95"/>
  <c r="AB235" i="95"/>
  <c r="AA235" i="95"/>
  <c r="Z235" i="95"/>
  <c r="Y235" i="95"/>
  <c r="X235" i="95"/>
  <c r="W235" i="95"/>
  <c r="V235" i="95"/>
  <c r="U235" i="95"/>
  <c r="T235" i="95"/>
  <c r="S235" i="95"/>
  <c r="R235" i="95"/>
  <c r="Q235" i="95"/>
  <c r="D235" i="95"/>
  <c r="C235" i="95"/>
  <c r="D234" i="95"/>
  <c r="C270" i="95" s="1"/>
  <c r="B234" i="95"/>
  <c r="AF270" i="95" s="1"/>
  <c r="E233" i="95"/>
  <c r="F233" i="95" s="1"/>
  <c r="G233" i="95" s="1"/>
  <c r="H233" i="95" s="1"/>
  <c r="I233" i="95" s="1"/>
  <c r="J233" i="95" s="1"/>
  <c r="K233" i="95" s="1"/>
  <c r="L233" i="95" s="1"/>
  <c r="M233" i="95" s="1"/>
  <c r="N233" i="95" s="1"/>
  <c r="O233" i="95" s="1"/>
  <c r="P233" i="95" s="1"/>
  <c r="D233" i="95"/>
  <c r="B233" i="95"/>
  <c r="D232" i="95"/>
  <c r="E232" i="95" s="1"/>
  <c r="F232" i="95" s="1"/>
  <c r="G232" i="95" s="1"/>
  <c r="H232" i="95" s="1"/>
  <c r="I232" i="95" s="1"/>
  <c r="B232" i="95"/>
  <c r="E231" i="95"/>
  <c r="F231" i="95" s="1"/>
  <c r="G231" i="95" s="1"/>
  <c r="H231" i="95" s="1"/>
  <c r="D231" i="95"/>
  <c r="B231" i="95"/>
  <c r="D230" i="95"/>
  <c r="E230" i="95" s="1"/>
  <c r="F230" i="95" s="1"/>
  <c r="G230" i="95" s="1"/>
  <c r="H230" i="95" s="1"/>
  <c r="I230" i="95" s="1"/>
  <c r="J230" i="95" s="1"/>
  <c r="K230" i="95" s="1"/>
  <c r="L230" i="95" s="1"/>
  <c r="M230" i="95" s="1"/>
  <c r="N230" i="95" s="1"/>
  <c r="O230" i="95" s="1"/>
  <c r="P230" i="95" s="1"/>
  <c r="B230" i="95"/>
  <c r="E229" i="95"/>
  <c r="F229" i="95" s="1"/>
  <c r="D229" i="95"/>
  <c r="B229" i="95"/>
  <c r="B235" i="95" s="1"/>
  <c r="AG227" i="95"/>
  <c r="AF227" i="95"/>
  <c r="AE227" i="95"/>
  <c r="AD227" i="95"/>
  <c r="AC227" i="95"/>
  <c r="AB227" i="95"/>
  <c r="AA227" i="95"/>
  <c r="Z227" i="95"/>
  <c r="Y227" i="95"/>
  <c r="X227" i="95"/>
  <c r="W227" i="95"/>
  <c r="V227" i="95"/>
  <c r="U227" i="95"/>
  <c r="T227" i="95"/>
  <c r="S227" i="95"/>
  <c r="R227" i="95"/>
  <c r="Q227" i="95"/>
  <c r="P227" i="95"/>
  <c r="O227" i="95"/>
  <c r="N227" i="95"/>
  <c r="M227" i="95"/>
  <c r="L227" i="95"/>
  <c r="K227" i="95"/>
  <c r="J227" i="95"/>
  <c r="I227" i="95"/>
  <c r="H227" i="95"/>
  <c r="G227" i="95"/>
  <c r="F227" i="95"/>
  <c r="E227" i="95"/>
  <c r="D227" i="95"/>
  <c r="C227" i="95"/>
  <c r="B227" i="95"/>
  <c r="AI120" i="95"/>
  <c r="AH120" i="95"/>
  <c r="AI119" i="95"/>
  <c r="AH119" i="95"/>
  <c r="AI118" i="95"/>
  <c r="AH118" i="95"/>
  <c r="AI117" i="95"/>
  <c r="AH117" i="95"/>
  <c r="AI116" i="95"/>
  <c r="AH116" i="95"/>
  <c r="AI115" i="95"/>
  <c r="AH115" i="95"/>
  <c r="AI114" i="95"/>
  <c r="AH114" i="95"/>
  <c r="AI112" i="95"/>
  <c r="AH112" i="95"/>
  <c r="AI111" i="95"/>
  <c r="AH111" i="95"/>
  <c r="AF110" i="95"/>
  <c r="AE110" i="95"/>
  <c r="AC110" i="95"/>
  <c r="AB110" i="95"/>
  <c r="AA110" i="95"/>
  <c r="Z110" i="95"/>
  <c r="X110" i="95"/>
  <c r="W110" i="95"/>
  <c r="V110" i="95"/>
  <c r="U110" i="95"/>
  <c r="T110" i="95"/>
  <c r="S110" i="95"/>
  <c r="R110" i="95"/>
  <c r="Q110" i="95"/>
  <c r="C110" i="95"/>
  <c r="AI109" i="95"/>
  <c r="AH109" i="95"/>
  <c r="AI108" i="95"/>
  <c r="AH108" i="95"/>
  <c r="AI107" i="95"/>
  <c r="AH107" i="95"/>
  <c r="AI106" i="95"/>
  <c r="AH106" i="95"/>
  <c r="AI105" i="95"/>
  <c r="AH105" i="95"/>
  <c r="AI104" i="95"/>
  <c r="AH104" i="95"/>
  <c r="AI103" i="95"/>
  <c r="AH103" i="95"/>
  <c r="AI102" i="95"/>
  <c r="AH102" i="95"/>
  <c r="AI101" i="95"/>
  <c r="AH101" i="95"/>
  <c r="AF99" i="95"/>
  <c r="AE99" i="95"/>
  <c r="AD99" i="95"/>
  <c r="AC99" i="95"/>
  <c r="AB99" i="95"/>
  <c r="AA99" i="95"/>
  <c r="Z99" i="95"/>
  <c r="Y99" i="95"/>
  <c r="X99" i="95"/>
  <c r="W99" i="95"/>
  <c r="V99" i="95"/>
  <c r="U99" i="95"/>
  <c r="T99" i="95"/>
  <c r="S99" i="95"/>
  <c r="R99" i="95"/>
  <c r="Q99" i="95"/>
  <c r="P99" i="95"/>
  <c r="O99" i="95"/>
  <c r="N99" i="95"/>
  <c r="M99" i="95"/>
  <c r="L99" i="95"/>
  <c r="K99" i="95"/>
  <c r="J99" i="95"/>
  <c r="I99" i="95"/>
  <c r="H99" i="95"/>
  <c r="G99" i="95"/>
  <c r="F99" i="95"/>
  <c r="E99" i="95"/>
  <c r="AI98" i="95"/>
  <c r="AH98" i="95"/>
  <c r="AI97" i="95"/>
  <c r="AH97" i="95"/>
  <c r="AI96" i="95"/>
  <c r="AH96" i="95"/>
  <c r="AI95" i="95"/>
  <c r="AH95" i="95"/>
  <c r="AI94" i="95"/>
  <c r="AH94" i="95"/>
  <c r="AI93" i="95"/>
  <c r="AH93" i="95"/>
  <c r="AI90" i="95"/>
  <c r="AH90" i="95"/>
  <c r="AI88" i="95"/>
  <c r="AH88" i="95"/>
  <c r="AG88" i="95"/>
  <c r="AG91" i="95" s="1"/>
  <c r="AI87" i="95"/>
  <c r="AH87" i="95"/>
  <c r="AI86" i="95"/>
  <c r="AH86" i="95"/>
  <c r="AI85" i="95"/>
  <c r="AH85" i="95"/>
  <c r="AG84" i="95"/>
  <c r="AF84" i="95"/>
  <c r="AF100" i="95" s="1"/>
  <c r="AE84" i="95"/>
  <c r="AD5" i="95" s="1"/>
  <c r="AD84" i="95"/>
  <c r="AC84" i="95"/>
  <c r="AC100" i="95" s="1"/>
  <c r="AB84" i="95"/>
  <c r="AB100" i="95" s="1"/>
  <c r="AA84" i="95"/>
  <c r="Z5" i="95" s="1"/>
  <c r="Z84" i="95"/>
  <c r="Z100" i="95" s="1"/>
  <c r="X84" i="95"/>
  <c r="W84" i="95"/>
  <c r="V5" i="95" s="1"/>
  <c r="V84" i="95"/>
  <c r="U84" i="95"/>
  <c r="T84" i="95"/>
  <c r="T100" i="95" s="1"/>
  <c r="S84" i="95"/>
  <c r="R5" i="95" s="1"/>
  <c r="R84" i="95"/>
  <c r="Q5" i="95" s="1"/>
  <c r="Q84" i="95"/>
  <c r="Q100" i="95" s="1"/>
  <c r="P84" i="95"/>
  <c r="P100" i="95" s="1"/>
  <c r="O84" i="95"/>
  <c r="N5" i="95" s="1"/>
  <c r="N84" i="95"/>
  <c r="N100" i="95" s="1"/>
  <c r="M84" i="95"/>
  <c r="M100" i="95" s="1"/>
  <c r="L84" i="95"/>
  <c r="L100" i="95" s="1"/>
  <c r="K84" i="95"/>
  <c r="J5" i="95" s="1"/>
  <c r="J84" i="95"/>
  <c r="J100" i="95" s="1"/>
  <c r="I84" i="95"/>
  <c r="I100" i="95" s="1"/>
  <c r="H84" i="95"/>
  <c r="H100" i="95" s="1"/>
  <c r="G84" i="95"/>
  <c r="F5" i="95" s="1"/>
  <c r="F84" i="95"/>
  <c r="E5" i="95" s="1"/>
  <c r="E84" i="95"/>
  <c r="E100" i="95" s="1"/>
  <c r="AI83" i="95"/>
  <c r="AH83" i="95"/>
  <c r="AI82" i="95"/>
  <c r="AH82" i="95"/>
  <c r="AI81" i="95"/>
  <c r="AH81" i="95"/>
  <c r="AI80" i="95"/>
  <c r="AH80" i="95"/>
  <c r="AI79" i="95"/>
  <c r="AH79" i="95"/>
  <c r="AI78" i="95"/>
  <c r="AH78" i="95"/>
  <c r="AI77" i="95"/>
  <c r="AH77" i="95"/>
  <c r="AI76" i="95"/>
  <c r="AH76" i="95"/>
  <c r="AI75" i="95"/>
  <c r="AH75" i="95"/>
  <c r="AI74" i="95"/>
  <c r="AH74" i="95"/>
  <c r="AI73" i="95"/>
  <c r="AH73" i="95"/>
  <c r="AG72" i="95"/>
  <c r="AG4" i="95" s="1"/>
  <c r="AF72" i="95"/>
  <c r="AE72" i="95"/>
  <c r="AD72" i="95"/>
  <c r="AC72" i="95"/>
  <c r="AB72" i="95"/>
  <c r="AA72" i="95"/>
  <c r="Z72" i="95"/>
  <c r="X72" i="95"/>
  <c r="W72" i="95"/>
  <c r="V72" i="95"/>
  <c r="U72" i="95"/>
  <c r="T72" i="95"/>
  <c r="S72" i="95"/>
  <c r="R72" i="95"/>
  <c r="Q72" i="95"/>
  <c r="P72" i="95"/>
  <c r="O72" i="95"/>
  <c r="N72" i="95"/>
  <c r="M72" i="95"/>
  <c r="L72" i="95"/>
  <c r="AI71" i="95"/>
  <c r="AH71" i="95"/>
  <c r="AI70" i="95"/>
  <c r="AH70" i="95"/>
  <c r="AI69" i="95"/>
  <c r="AH69" i="95"/>
  <c r="AG68" i="95"/>
  <c r="AF68" i="95"/>
  <c r="AE68" i="95"/>
  <c r="AD68" i="95"/>
  <c r="AC68" i="95"/>
  <c r="AB68" i="95"/>
  <c r="AA68" i="95"/>
  <c r="Z68" i="95"/>
  <c r="X68" i="95"/>
  <c r="W68" i="95"/>
  <c r="V68" i="95"/>
  <c r="U68" i="95"/>
  <c r="T68" i="95"/>
  <c r="S68" i="95"/>
  <c r="R68" i="95"/>
  <c r="Q68" i="95"/>
  <c r="P68" i="95"/>
  <c r="O68" i="95"/>
  <c r="N68" i="95"/>
  <c r="M68" i="95"/>
  <c r="L68" i="95"/>
  <c r="K68" i="95"/>
  <c r="J68" i="95"/>
  <c r="I68" i="95"/>
  <c r="H68" i="95"/>
  <c r="G68" i="95"/>
  <c r="F68" i="95"/>
  <c r="E68" i="95"/>
  <c r="AI67" i="95"/>
  <c r="AH67" i="95"/>
  <c r="AG67" i="95"/>
  <c r="AI66" i="95"/>
  <c r="AH66" i="95"/>
  <c r="AI65" i="95"/>
  <c r="AH65" i="95"/>
  <c r="AI64" i="95"/>
  <c r="AH64" i="95"/>
  <c r="AI63" i="95"/>
  <c r="AH63" i="95"/>
  <c r="AI62" i="95"/>
  <c r="AH62" i="95"/>
  <c r="AI61" i="95"/>
  <c r="AH61" i="95"/>
  <c r="AI60" i="95"/>
  <c r="AH60" i="95"/>
  <c r="AI59" i="95"/>
  <c r="AH59" i="95"/>
  <c r="AI58" i="95"/>
  <c r="AH58" i="95"/>
  <c r="AI57" i="95"/>
  <c r="AH57" i="95"/>
  <c r="AI56" i="95"/>
  <c r="AH56" i="95"/>
  <c r="AI55" i="95"/>
  <c r="AH55" i="95"/>
  <c r="AG54" i="95"/>
  <c r="AF54" i="95"/>
  <c r="AE54" i="95"/>
  <c r="AC54" i="95"/>
  <c r="AB54" i="95"/>
  <c r="AA54" i="95"/>
  <c r="Z54" i="95"/>
  <c r="X54" i="95"/>
  <c r="W54" i="95"/>
  <c r="V54" i="95"/>
  <c r="U54" i="95"/>
  <c r="T54" i="95"/>
  <c r="S54" i="95"/>
  <c r="R54" i="95"/>
  <c r="Q54" i="95"/>
  <c r="P54" i="95"/>
  <c r="O54" i="95"/>
  <c r="N54" i="95"/>
  <c r="M54" i="95"/>
  <c r="L54" i="95"/>
  <c r="K54" i="95"/>
  <c r="J54" i="95"/>
  <c r="I54" i="95"/>
  <c r="H54" i="95"/>
  <c r="G54" i="95"/>
  <c r="F54" i="95"/>
  <c r="E54" i="95"/>
  <c r="AI53" i="95"/>
  <c r="AH53" i="95"/>
  <c r="AI52" i="95"/>
  <c r="AH52" i="95"/>
  <c r="AI51" i="95"/>
  <c r="AH51" i="95"/>
  <c r="AG50" i="95"/>
  <c r="AG89" i="95" s="1"/>
  <c r="AF50" i="95"/>
  <c r="AE50" i="95"/>
  <c r="AC50" i="95"/>
  <c r="AA50" i="95"/>
  <c r="Z50" i="95"/>
  <c r="Y50" i="95"/>
  <c r="X50" i="95"/>
  <c r="W50" i="95"/>
  <c r="V50" i="95"/>
  <c r="U50" i="95"/>
  <c r="S50" i="95"/>
  <c r="S89" i="95" s="1"/>
  <c r="S91" i="95" s="1"/>
  <c r="R50" i="95"/>
  <c r="Q50" i="95"/>
  <c r="P50" i="95"/>
  <c r="O50" i="95"/>
  <c r="N50" i="95"/>
  <c r="M50" i="95"/>
  <c r="L50" i="95"/>
  <c r="K50" i="95"/>
  <c r="J50" i="95"/>
  <c r="I50" i="95"/>
  <c r="H50" i="95"/>
  <c r="G50" i="95"/>
  <c r="F50" i="95"/>
  <c r="E50" i="95"/>
  <c r="AI48" i="95"/>
  <c r="AH48" i="95"/>
  <c r="AI47" i="95"/>
  <c r="AH47" i="95"/>
  <c r="AI46" i="95"/>
  <c r="AH46" i="95"/>
  <c r="AI45" i="95"/>
  <c r="AH45" i="95"/>
  <c r="AI44" i="95"/>
  <c r="AH44" i="95"/>
  <c r="AI43" i="95"/>
  <c r="AH43" i="95"/>
  <c r="AI42" i="95"/>
  <c r="AH42" i="95"/>
  <c r="AI41" i="95"/>
  <c r="AH41" i="95"/>
  <c r="AI40" i="95"/>
  <c r="AH40" i="95"/>
  <c r="AI39" i="95"/>
  <c r="AH39" i="95"/>
  <c r="AI38" i="95"/>
  <c r="AH38" i="95"/>
  <c r="AI37" i="95"/>
  <c r="AH37" i="95"/>
  <c r="AI36" i="95"/>
  <c r="AH36" i="95"/>
  <c r="AI35" i="95"/>
  <c r="AH35" i="95"/>
  <c r="AI34" i="95"/>
  <c r="AH34" i="95"/>
  <c r="AI33" i="95"/>
  <c r="AH33" i="95"/>
  <c r="AI32" i="95"/>
  <c r="AH32" i="95"/>
  <c r="AI31" i="95"/>
  <c r="AH31" i="95"/>
  <c r="AI30" i="95"/>
  <c r="AH30" i="95"/>
  <c r="AI29" i="95"/>
  <c r="AH29" i="95"/>
  <c r="AI28" i="95"/>
  <c r="AH28" i="95"/>
  <c r="AI26" i="95"/>
  <c r="AH26" i="95"/>
  <c r="AI25" i="95"/>
  <c r="AH25" i="95"/>
  <c r="AI24" i="95"/>
  <c r="AH24" i="95"/>
  <c r="AI22" i="95"/>
  <c r="AH22" i="95"/>
  <c r="AI21" i="95"/>
  <c r="AH21" i="95"/>
  <c r="AI20" i="95"/>
  <c r="AH20" i="95"/>
  <c r="AI19" i="95"/>
  <c r="AH19" i="95"/>
  <c r="AI18" i="95"/>
  <c r="AH18" i="95"/>
  <c r="AI17" i="95"/>
  <c r="AH17" i="95"/>
  <c r="AI16" i="95"/>
  <c r="AH16" i="95"/>
  <c r="AI15" i="95"/>
  <c r="AH15" i="95"/>
  <c r="AI14" i="95"/>
  <c r="AH14" i="95"/>
  <c r="AI13" i="95"/>
  <c r="AH13" i="95"/>
  <c r="AI12" i="95"/>
  <c r="AH12" i="95"/>
  <c r="AI11" i="95"/>
  <c r="AH11" i="95"/>
  <c r="X5" i="95"/>
  <c r="W5" i="95"/>
  <c r="U5" i="95"/>
  <c r="T5" i="95"/>
  <c r="S5" i="95"/>
  <c r="B5" i="95"/>
  <c r="K4" i="95"/>
  <c r="E4" i="95"/>
  <c r="H4" i="95" s="1"/>
  <c r="B4" i="95"/>
  <c r="S246" i="95" s="1"/>
  <c r="AG3" i="95"/>
  <c r="AF113" i="94"/>
  <c r="AF49" i="94"/>
  <c r="AF50" i="94"/>
  <c r="AF54" i="94"/>
  <c r="AF68" i="94"/>
  <c r="AF72" i="94"/>
  <c r="AF84" i="94"/>
  <c r="AF100" i="94" s="1"/>
  <c r="AF99" i="94"/>
  <c r="AF110" i="94"/>
  <c r="AE113" i="94"/>
  <c r="AE49" i="94"/>
  <c r="AE99" i="94"/>
  <c r="AE84" i="94"/>
  <c r="AE72" i="94"/>
  <c r="AE68" i="94"/>
  <c r="AE54" i="94"/>
  <c r="AE50" i="94"/>
  <c r="AC113" i="94"/>
  <c r="AC49" i="94"/>
  <c r="AB113" i="94"/>
  <c r="AB49" i="94"/>
  <c r="AB50" i="94"/>
  <c r="AB54" i="94"/>
  <c r="Y89" i="94"/>
  <c r="Y72" i="94"/>
  <c r="Z72" i="94"/>
  <c r="AA72" i="94"/>
  <c r="Y68" i="94"/>
  <c r="Z68" i="94"/>
  <c r="X49" i="94"/>
  <c r="W49" i="94"/>
  <c r="V49" i="94"/>
  <c r="AF100" i="96" l="1"/>
  <c r="AF89" i="96"/>
  <c r="AF91" i="96" s="1"/>
  <c r="AE89" i="96"/>
  <c r="AE91" i="96" s="1"/>
  <c r="AD89" i="96"/>
  <c r="AD91" i="96" s="1"/>
  <c r="AC100" i="96"/>
  <c r="AB89" i="96"/>
  <c r="AB91" i="96" s="1"/>
  <c r="AA5" i="96"/>
  <c r="AC89" i="96"/>
  <c r="AC91" i="96" s="1"/>
  <c r="AA89" i="96"/>
  <c r="AA91" i="96" s="1"/>
  <c r="Y5" i="96"/>
  <c r="Z89" i="96"/>
  <c r="Z91" i="96" s="1"/>
  <c r="Y89" i="96"/>
  <c r="Y91" i="96" s="1"/>
  <c r="X100" i="96"/>
  <c r="X89" i="96"/>
  <c r="X91" i="96" s="1"/>
  <c r="W100" i="96"/>
  <c r="W89" i="96"/>
  <c r="W91" i="96" s="1"/>
  <c r="V89" i="96"/>
  <c r="V91" i="96" s="1"/>
  <c r="U89" i="96"/>
  <c r="U91" i="96" s="1"/>
  <c r="T89" i="96"/>
  <c r="T91" i="96" s="1"/>
  <c r="S5" i="96"/>
  <c r="AH72" i="96"/>
  <c r="S89" i="96"/>
  <c r="S91" i="96" s="1"/>
  <c r="Q100" i="96"/>
  <c r="Q5" i="96"/>
  <c r="Q89" i="96"/>
  <c r="Q91" i="96" s="1"/>
  <c r="R89" i="96"/>
  <c r="R91" i="96" s="1"/>
  <c r="P100" i="96"/>
  <c r="P89" i="96"/>
  <c r="P91" i="96" s="1"/>
  <c r="O89" i="96"/>
  <c r="O91" i="96" s="1"/>
  <c r="N89" i="96"/>
  <c r="N91" i="96" s="1"/>
  <c r="M89" i="96"/>
  <c r="M91" i="96" s="1"/>
  <c r="M7" i="96" s="1"/>
  <c r="AI72" i="96"/>
  <c r="AI49" i="96"/>
  <c r="I5" i="96"/>
  <c r="K89" i="96"/>
  <c r="K91" i="96" s="1"/>
  <c r="K92" i="96" s="1"/>
  <c r="L89" i="96"/>
  <c r="L91" i="96" s="1"/>
  <c r="AD249" i="96" s="1"/>
  <c r="J5" i="96"/>
  <c r="K5" i="96"/>
  <c r="J89" i="96"/>
  <c r="J91" i="96" s="1"/>
  <c r="AB249" i="96" s="1"/>
  <c r="I89" i="96"/>
  <c r="I91" i="96" s="1"/>
  <c r="AA249" i="96" s="1"/>
  <c r="H5" i="96"/>
  <c r="AH49" i="96"/>
  <c r="H89" i="96"/>
  <c r="H91" i="96" s="1"/>
  <c r="H92" i="96" s="1"/>
  <c r="G100" i="96"/>
  <c r="F89" i="96"/>
  <c r="F91" i="96" s="1"/>
  <c r="F7" i="96" s="1"/>
  <c r="E89" i="96"/>
  <c r="E91" i="96" s="1"/>
  <c r="E7" i="96" s="1"/>
  <c r="AH54" i="96"/>
  <c r="C5" i="96"/>
  <c r="D89" i="96"/>
  <c r="D91" i="96" s="1"/>
  <c r="D7" i="96" s="1"/>
  <c r="AI99" i="96"/>
  <c r="C100" i="96"/>
  <c r="C89" i="96"/>
  <c r="C91" i="96" s="1"/>
  <c r="U249" i="96" s="1"/>
  <c r="AI84" i="96"/>
  <c r="B5" i="96"/>
  <c r="AI68" i="96"/>
  <c r="AH99" i="96"/>
  <c r="AF5" i="96"/>
  <c r="B89" i="96"/>
  <c r="B91" i="96" s="1"/>
  <c r="D246" i="96"/>
  <c r="R92" i="96"/>
  <c r="R7" i="96"/>
  <c r="AJ249" i="96"/>
  <c r="S92" i="96"/>
  <c r="S7" i="96"/>
  <c r="AK249" i="96"/>
  <c r="T92" i="96"/>
  <c r="T7" i="96"/>
  <c r="AL249" i="96"/>
  <c r="M92" i="96"/>
  <c r="U7" i="96"/>
  <c r="U92" i="96"/>
  <c r="AM249" i="96"/>
  <c r="AC7" i="96"/>
  <c r="AU249" i="96"/>
  <c r="AC92" i="96"/>
  <c r="AG249" i="96"/>
  <c r="O92" i="96"/>
  <c r="O7" i="96"/>
  <c r="AO249" i="96"/>
  <c r="W7" i="96"/>
  <c r="W92" i="96"/>
  <c r="AW249" i="96"/>
  <c r="AE7" i="96"/>
  <c r="AE92" i="96"/>
  <c r="AA92" i="96"/>
  <c r="AA7" i="96"/>
  <c r="AS249" i="96"/>
  <c r="AD7" i="96"/>
  <c r="AV249" i="96"/>
  <c r="AD92" i="96"/>
  <c r="AB92" i="96"/>
  <c r="AB7" i="96"/>
  <c r="AT249" i="96"/>
  <c r="H229" i="96"/>
  <c r="J232" i="96"/>
  <c r="K232" i="96" s="1"/>
  <c r="L232" i="96" s="1"/>
  <c r="M232" i="96" s="1"/>
  <c r="N232" i="96" s="1"/>
  <c r="O232" i="96" s="1"/>
  <c r="P232" i="96" s="1"/>
  <c r="N7" i="96"/>
  <c r="AF249" i="96"/>
  <c r="N92" i="96"/>
  <c r="C92" i="96"/>
  <c r="C7" i="96"/>
  <c r="Z92" i="96"/>
  <c r="Z7" i="96"/>
  <c r="AR249" i="96"/>
  <c r="V7" i="96"/>
  <c r="AN249" i="96"/>
  <c r="V92" i="96"/>
  <c r="AH249" i="96"/>
  <c r="P92" i="96"/>
  <c r="P7" i="96"/>
  <c r="X92" i="96"/>
  <c r="AP249" i="96"/>
  <c r="X7" i="96"/>
  <c r="AF92" i="96"/>
  <c r="AF7" i="96"/>
  <c r="AX249" i="96"/>
  <c r="Q92" i="96"/>
  <c r="AI249" i="96"/>
  <c r="Q7" i="96"/>
  <c r="Y92" i="96"/>
  <c r="Y7" i="96"/>
  <c r="AQ249" i="96"/>
  <c r="AI50" i="96"/>
  <c r="H100" i="96"/>
  <c r="E234" i="96"/>
  <c r="AG2" i="96"/>
  <c r="AG6" i="96" s="1"/>
  <c r="AI54" i="96"/>
  <c r="E230" i="96"/>
  <c r="D5" i="96"/>
  <c r="L5" i="96"/>
  <c r="T5" i="96"/>
  <c r="AB5" i="96"/>
  <c r="B100" i="96"/>
  <c r="AH84" i="96"/>
  <c r="G89" i="96"/>
  <c r="G91" i="96" s="1"/>
  <c r="AH68" i="96"/>
  <c r="B235" i="96"/>
  <c r="AH50" i="96"/>
  <c r="E5" i="96"/>
  <c r="M5" i="96"/>
  <c r="U5" i="96"/>
  <c r="AC5" i="96"/>
  <c r="AE5" i="95"/>
  <c r="AF89" i="95"/>
  <c r="AF91" i="95" s="1"/>
  <c r="AE100" i="95"/>
  <c r="AE89" i="95"/>
  <c r="AE91" i="95" s="1"/>
  <c r="AD100" i="95"/>
  <c r="AC5" i="95"/>
  <c r="AD89" i="95"/>
  <c r="AD91" i="95" s="1"/>
  <c r="AV249" i="95" s="1"/>
  <c r="AI23" i="95"/>
  <c r="AH27" i="95"/>
  <c r="AB5" i="95"/>
  <c r="AC89" i="95"/>
  <c r="AC91" i="95" s="1"/>
  <c r="AA5" i="95"/>
  <c r="AH23" i="95"/>
  <c r="AB50" i="95"/>
  <c r="AB89" i="95" s="1"/>
  <c r="AB91" i="95" s="1"/>
  <c r="AA100" i="95"/>
  <c r="AA89" i="95"/>
  <c r="AA91" i="95" s="1"/>
  <c r="Y5" i="95"/>
  <c r="Z89" i="95"/>
  <c r="Z91" i="95" s="1"/>
  <c r="T89" i="95"/>
  <c r="T91" i="95" s="1"/>
  <c r="Y100" i="95"/>
  <c r="Y91" i="95"/>
  <c r="X100" i="95"/>
  <c r="X89" i="95"/>
  <c r="X91" i="95" s="1"/>
  <c r="W89" i="95"/>
  <c r="W91" i="95" s="1"/>
  <c r="W100" i="95"/>
  <c r="V100" i="95"/>
  <c r="U100" i="95"/>
  <c r="V89" i="95"/>
  <c r="V91" i="95" s="1"/>
  <c r="U89" i="95"/>
  <c r="U91" i="95" s="1"/>
  <c r="S100" i="95"/>
  <c r="O5" i="95"/>
  <c r="R100" i="95"/>
  <c r="P5" i="95"/>
  <c r="Q89" i="95"/>
  <c r="Q91" i="95" s="1"/>
  <c r="R89" i="95"/>
  <c r="R91" i="95" s="1"/>
  <c r="P89" i="95"/>
  <c r="P91" i="95" s="1"/>
  <c r="O100" i="95"/>
  <c r="M5" i="95"/>
  <c r="M89" i="95"/>
  <c r="M91" i="95" s="1"/>
  <c r="L5" i="95"/>
  <c r="AI72" i="95"/>
  <c r="O89" i="95"/>
  <c r="O91" i="95" s="1"/>
  <c r="N89" i="95"/>
  <c r="N91" i="95" s="1"/>
  <c r="AF249" i="95" s="1"/>
  <c r="K5" i="95"/>
  <c r="AH72" i="95"/>
  <c r="L89" i="95"/>
  <c r="L91" i="95" s="1"/>
  <c r="L7" i="95" s="1"/>
  <c r="K100" i="95"/>
  <c r="K89" i="95"/>
  <c r="K91" i="95" s="1"/>
  <c r="AC249" i="95" s="1"/>
  <c r="I5" i="95"/>
  <c r="J89" i="95"/>
  <c r="J91" i="95" s="1"/>
  <c r="J92" i="95" s="1"/>
  <c r="H5" i="95"/>
  <c r="I89" i="95"/>
  <c r="I91" i="95" s="1"/>
  <c r="G5" i="95"/>
  <c r="H89" i="95"/>
  <c r="H91" i="95" s="1"/>
  <c r="G100" i="95"/>
  <c r="G89" i="95"/>
  <c r="G91" i="95" s="1"/>
  <c r="AI49" i="95"/>
  <c r="AI113" i="95"/>
  <c r="F89" i="95"/>
  <c r="F91" i="95" s="1"/>
  <c r="F100" i="95"/>
  <c r="X249" i="95"/>
  <c r="F7" i="95"/>
  <c r="D5" i="95"/>
  <c r="E89" i="95"/>
  <c r="E91" i="95" s="1"/>
  <c r="W249" i="95" s="1"/>
  <c r="AI54" i="95"/>
  <c r="C5" i="95"/>
  <c r="D89" i="95"/>
  <c r="D91" i="95" s="1"/>
  <c r="D92" i="95" s="1"/>
  <c r="AI68" i="95"/>
  <c r="AH49" i="95"/>
  <c r="AI99" i="95"/>
  <c r="C100" i="95"/>
  <c r="C89" i="95"/>
  <c r="C91" i="95" s="1"/>
  <c r="C92" i="95" s="1"/>
  <c r="AH84" i="95"/>
  <c r="B89" i="95"/>
  <c r="B91" i="95" s="1"/>
  <c r="B92" i="95" s="1"/>
  <c r="AI50" i="95"/>
  <c r="AF5" i="95"/>
  <c r="AH113" i="95"/>
  <c r="B100" i="95"/>
  <c r="AI100" i="95" s="1"/>
  <c r="I92" i="95"/>
  <c r="I7" i="95"/>
  <c r="AA249" i="95"/>
  <c r="Q92" i="95"/>
  <c r="Q7" i="95"/>
  <c r="AI249" i="95"/>
  <c r="AN249" i="95"/>
  <c r="V92" i="95"/>
  <c r="V7" i="95"/>
  <c r="Y249" i="95"/>
  <c r="G92" i="95"/>
  <c r="G7" i="95"/>
  <c r="AO249" i="95"/>
  <c r="W92" i="95"/>
  <c r="W7" i="95"/>
  <c r="Z7" i="95"/>
  <c r="Z92" i="95"/>
  <c r="AR249" i="95"/>
  <c r="AD249" i="95"/>
  <c r="L92" i="95"/>
  <c r="T7" i="95"/>
  <c r="AL249" i="95"/>
  <c r="T92" i="95"/>
  <c r="AB92" i="95"/>
  <c r="AB7" i="95"/>
  <c r="AT249" i="95"/>
  <c r="K92" i="95"/>
  <c r="K7" i="95"/>
  <c r="AA92" i="95"/>
  <c r="AA7" i="95"/>
  <c r="AS249" i="95"/>
  <c r="U7" i="95"/>
  <c r="AM249" i="95"/>
  <c r="U92" i="95"/>
  <c r="E7" i="95"/>
  <c r="M7" i="95"/>
  <c r="AE249" i="95"/>
  <c r="M92" i="95"/>
  <c r="AC7" i="95"/>
  <c r="AU249" i="95"/>
  <c r="AC92" i="95"/>
  <c r="AG249" i="95"/>
  <c r="O92" i="95"/>
  <c r="O7" i="95"/>
  <c r="AW249" i="95"/>
  <c r="AE92" i="95"/>
  <c r="AE7" i="95"/>
  <c r="R92" i="95"/>
  <c r="R7" i="95"/>
  <c r="AJ249" i="95"/>
  <c r="J232" i="95"/>
  <c r="K232" i="95" s="1"/>
  <c r="L232" i="95" s="1"/>
  <c r="M232" i="95" s="1"/>
  <c r="N232" i="95" s="1"/>
  <c r="O232" i="95" s="1"/>
  <c r="P232" i="95" s="1"/>
  <c r="H92" i="95"/>
  <c r="H7" i="95"/>
  <c r="Z249" i="95"/>
  <c r="P92" i="95"/>
  <c r="P7" i="95"/>
  <c r="AH249" i="95"/>
  <c r="X92" i="95"/>
  <c r="X7" i="95"/>
  <c r="AP249" i="95"/>
  <c r="AF92" i="95"/>
  <c r="AF7" i="95"/>
  <c r="AX249" i="95"/>
  <c r="S92" i="95"/>
  <c r="S7" i="95"/>
  <c r="AK249" i="95"/>
  <c r="G229" i="95"/>
  <c r="Y92" i="95"/>
  <c r="Y7" i="95"/>
  <c r="AQ249" i="95"/>
  <c r="E235" i="95"/>
  <c r="D246" i="95"/>
  <c r="AH50" i="95"/>
  <c r="AH54" i="95"/>
  <c r="F92" i="95"/>
  <c r="N92" i="95"/>
  <c r="AD92" i="95"/>
  <c r="AH99" i="95"/>
  <c r="E110" i="95"/>
  <c r="E234" i="95"/>
  <c r="AG2" i="95"/>
  <c r="AG6" i="95" s="1"/>
  <c r="AH68" i="95"/>
  <c r="AI84" i="95"/>
  <c r="AF89" i="94"/>
  <c r="AF91" i="94" s="1"/>
  <c r="AF92" i="94" s="1"/>
  <c r="AE100" i="94"/>
  <c r="AE89" i="94"/>
  <c r="AE91" i="94" s="1"/>
  <c r="AE92" i="94" s="1"/>
  <c r="U49" i="94"/>
  <c r="T49" i="94"/>
  <c r="S49" i="94"/>
  <c r="Q49" i="94"/>
  <c r="R49" i="94"/>
  <c r="AE249" i="96" l="1"/>
  <c r="F92" i="96"/>
  <c r="X249" i="96"/>
  <c r="L7" i="96"/>
  <c r="L92" i="96"/>
  <c r="AC249" i="96"/>
  <c r="K7" i="96"/>
  <c r="J7" i="96"/>
  <c r="J92" i="96"/>
  <c r="I92" i="96"/>
  <c r="I7" i="96"/>
  <c r="Z249" i="96"/>
  <c r="H7" i="96"/>
  <c r="E92" i="96"/>
  <c r="W249" i="96"/>
  <c r="V249" i="96"/>
  <c r="D92" i="96"/>
  <c r="F230" i="96"/>
  <c r="E235" i="96"/>
  <c r="I229" i="96"/>
  <c r="Y249" i="96"/>
  <c r="C244" i="96"/>
  <c r="G7" i="96"/>
  <c r="B244" i="96"/>
  <c r="G92" i="96"/>
  <c r="AI100" i="96"/>
  <c r="AH100" i="96"/>
  <c r="D270" i="96"/>
  <c r="E110" i="96"/>
  <c r="F234" i="96"/>
  <c r="B92" i="96"/>
  <c r="AI91" i="96"/>
  <c r="AH91" i="96"/>
  <c r="B7" i="96"/>
  <c r="T249" i="96"/>
  <c r="AI89" i="96"/>
  <c r="AH89" i="96"/>
  <c r="AD7" i="95"/>
  <c r="N7" i="95"/>
  <c r="B244" i="95"/>
  <c r="C244" i="95"/>
  <c r="AB249" i="95"/>
  <c r="J7" i="95"/>
  <c r="E92" i="95"/>
  <c r="V249" i="95"/>
  <c r="D7" i="95"/>
  <c r="AH89" i="95"/>
  <c r="U249" i="95"/>
  <c r="C7" i="95"/>
  <c r="AI89" i="95"/>
  <c r="T249" i="95"/>
  <c r="B7" i="95"/>
  <c r="AI91" i="95"/>
  <c r="AH91" i="95"/>
  <c r="AH100" i="95"/>
  <c r="D270" i="95"/>
  <c r="F234" i="95"/>
  <c r="AI92" i="95"/>
  <c r="AH92" i="95"/>
  <c r="H229" i="95"/>
  <c r="AI92" i="96" l="1"/>
  <c r="AH92" i="96"/>
  <c r="E270" i="96"/>
  <c r="G234" i="96"/>
  <c r="F110" i="96"/>
  <c r="A7" i="96"/>
  <c r="J229" i="96"/>
  <c r="K6" i="96"/>
  <c r="G230" i="96"/>
  <c r="F235" i="96"/>
  <c r="K6" i="95"/>
  <c r="A7" i="95"/>
  <c r="E270" i="95"/>
  <c r="G234" i="95"/>
  <c r="F110" i="95"/>
  <c r="F235" i="95"/>
  <c r="I229" i="95"/>
  <c r="F270" i="96" l="1"/>
  <c r="H234" i="96"/>
  <c r="G110" i="96"/>
  <c r="H230" i="96"/>
  <c r="G235" i="96"/>
  <c r="K229" i="96"/>
  <c r="J229" i="95"/>
  <c r="F270" i="95"/>
  <c r="H234" i="95"/>
  <c r="G235" i="95"/>
  <c r="G110" i="95"/>
  <c r="I230" i="96" l="1"/>
  <c r="H235" i="96"/>
  <c r="G270" i="96"/>
  <c r="I234" i="96"/>
  <c r="H110" i="96"/>
  <c r="L229" i="96"/>
  <c r="G270" i="95"/>
  <c r="I234" i="95"/>
  <c r="H235" i="95"/>
  <c r="H110" i="95"/>
  <c r="K229" i="95"/>
  <c r="M229" i="96" l="1"/>
  <c r="H270" i="96"/>
  <c r="J234" i="96"/>
  <c r="I110" i="96"/>
  <c r="J230" i="96"/>
  <c r="L229" i="95"/>
  <c r="H270" i="95"/>
  <c r="J234" i="95"/>
  <c r="I110" i="95"/>
  <c r="K234" i="96" l="1"/>
  <c r="I270" i="96"/>
  <c r="J110" i="96"/>
  <c r="N229" i="96"/>
  <c r="K230" i="96"/>
  <c r="K234" i="95"/>
  <c r="I270" i="95"/>
  <c r="J110" i="95"/>
  <c r="M229" i="95"/>
  <c r="L230" i="96" l="1"/>
  <c r="O229" i="96"/>
  <c r="J270" i="96"/>
  <c r="L234" i="96"/>
  <c r="K110" i="96"/>
  <c r="N229" i="95"/>
  <c r="J270" i="95"/>
  <c r="L234" i="95"/>
  <c r="K110" i="95"/>
  <c r="P229" i="96" l="1"/>
  <c r="M234" i="96"/>
  <c r="K270" i="96"/>
  <c r="L110" i="96"/>
  <c r="M230" i="96"/>
  <c r="K270" i="95"/>
  <c r="M234" i="95"/>
  <c r="L110" i="95"/>
  <c r="O229" i="95"/>
  <c r="L270" i="96" l="1"/>
  <c r="N234" i="96"/>
  <c r="M110" i="96"/>
  <c r="N230" i="96"/>
  <c r="P229" i="95"/>
  <c r="L270" i="95"/>
  <c r="N234" i="95"/>
  <c r="M110" i="95"/>
  <c r="M270" i="96" l="1"/>
  <c r="O234" i="96"/>
  <c r="N110" i="96"/>
  <c r="O230" i="96"/>
  <c r="M270" i="95"/>
  <c r="O234" i="95"/>
  <c r="N110" i="95"/>
  <c r="P230" i="96" l="1"/>
  <c r="N270" i="96"/>
  <c r="P234" i="96"/>
  <c r="O270" i="96" s="1"/>
  <c r="O110" i="96"/>
  <c r="N270" i="95"/>
  <c r="P234" i="95"/>
  <c r="O270" i="95" s="1"/>
  <c r="O110" i="95"/>
  <c r="AH110" i="96" l="1"/>
  <c r="AI110" i="96"/>
  <c r="AH110" i="95"/>
  <c r="AI110" i="95"/>
  <c r="P49" i="94" l="1"/>
  <c r="N27" i="94"/>
  <c r="N49" i="94"/>
  <c r="O49" i="94"/>
  <c r="M113" i="94" l="1"/>
  <c r="M27" i="94"/>
  <c r="M49" i="94"/>
  <c r="L113" i="94"/>
  <c r="L49" i="94"/>
  <c r="AI49" i="94" s="1"/>
  <c r="L27" i="94"/>
  <c r="K39" i="94"/>
  <c r="AI107" i="94"/>
  <c r="K113" i="94"/>
  <c r="K49" i="94"/>
  <c r="J113" i="94"/>
  <c r="J49" i="94"/>
  <c r="W50" i="94"/>
  <c r="I113" i="94"/>
  <c r="I49" i="94"/>
  <c r="H113" i="94"/>
  <c r="H49" i="94"/>
  <c r="G113" i="94"/>
  <c r="G49" i="94"/>
  <c r="F113" i="94"/>
  <c r="F49" i="94"/>
  <c r="J50" i="94"/>
  <c r="E113" i="94"/>
  <c r="E49" i="94"/>
  <c r="D113" i="94"/>
  <c r="D49" i="94"/>
  <c r="D50" i="94"/>
  <c r="D54" i="94"/>
  <c r="D68" i="94"/>
  <c r="D72" i="94"/>
  <c r="C113" i="94"/>
  <c r="C49" i="94"/>
  <c r="C50" i="94"/>
  <c r="C54" i="94"/>
  <c r="C68" i="94"/>
  <c r="C72" i="94"/>
  <c r="C84" i="94"/>
  <c r="B5" i="94" s="1"/>
  <c r="C99" i="94"/>
  <c r="C110" i="94"/>
  <c r="B113" i="94"/>
  <c r="B110" i="94" s="1"/>
  <c r="B49" i="94"/>
  <c r="B99" i="94"/>
  <c r="B84" i="94"/>
  <c r="B100" i="94" s="1"/>
  <c r="B72" i="94"/>
  <c r="B68" i="94"/>
  <c r="B54" i="94"/>
  <c r="B50" i="94"/>
  <c r="AI24" i="94"/>
  <c r="AF274" i="94"/>
  <c r="AE274" i="94"/>
  <c r="AD274" i="94"/>
  <c r="AC274" i="94"/>
  <c r="AB274" i="94"/>
  <c r="AA274" i="94"/>
  <c r="Z274" i="94"/>
  <c r="Y274" i="94"/>
  <c r="X274" i="94"/>
  <c r="W274" i="94"/>
  <c r="V274" i="94"/>
  <c r="U274" i="94"/>
  <c r="T274" i="94"/>
  <c r="S274" i="94"/>
  <c r="R274" i="94"/>
  <c r="Q274" i="94"/>
  <c r="P274" i="94"/>
  <c r="O274" i="94"/>
  <c r="N274" i="94"/>
  <c r="M274" i="94"/>
  <c r="L274" i="94"/>
  <c r="K274" i="94"/>
  <c r="J274" i="94"/>
  <c r="I274" i="94"/>
  <c r="H274" i="94"/>
  <c r="G274" i="94"/>
  <c r="F274" i="94"/>
  <c r="E274" i="94"/>
  <c r="D274" i="94"/>
  <c r="C274" i="94"/>
  <c r="B274" i="94"/>
  <c r="A274" i="94"/>
  <c r="AF273" i="94"/>
  <c r="AE273" i="94"/>
  <c r="AD273" i="94"/>
  <c r="AC273" i="94"/>
  <c r="AB273" i="94"/>
  <c r="AA273" i="94"/>
  <c r="Z273" i="94"/>
  <c r="Y273" i="94"/>
  <c r="X273" i="94"/>
  <c r="W273" i="94"/>
  <c r="V273" i="94"/>
  <c r="U273" i="94"/>
  <c r="T273" i="94"/>
  <c r="S273" i="94"/>
  <c r="R273" i="94"/>
  <c r="Q273" i="94"/>
  <c r="P273" i="94"/>
  <c r="O273" i="94"/>
  <c r="N273" i="94"/>
  <c r="M273" i="94"/>
  <c r="L273" i="94"/>
  <c r="K273" i="94"/>
  <c r="J273" i="94"/>
  <c r="I273" i="94"/>
  <c r="H273" i="94"/>
  <c r="G273" i="94"/>
  <c r="F273" i="94"/>
  <c r="E273" i="94"/>
  <c r="D273" i="94"/>
  <c r="C273" i="94"/>
  <c r="B273" i="94"/>
  <c r="A273" i="94"/>
  <c r="AF272" i="94"/>
  <c r="AE272" i="94"/>
  <c r="AD272" i="94"/>
  <c r="AC272" i="94"/>
  <c r="AB272" i="94"/>
  <c r="AA272" i="94"/>
  <c r="Z272" i="94"/>
  <c r="Y272" i="94"/>
  <c r="X272" i="94"/>
  <c r="W272" i="94"/>
  <c r="V272" i="94"/>
  <c r="U272" i="94"/>
  <c r="T272" i="94"/>
  <c r="S272" i="94"/>
  <c r="R272" i="94"/>
  <c r="Q272" i="94"/>
  <c r="P272" i="94"/>
  <c r="O272" i="94"/>
  <c r="N272" i="94"/>
  <c r="M272" i="94"/>
  <c r="L272" i="94"/>
  <c r="K272" i="94"/>
  <c r="J272" i="94"/>
  <c r="I272" i="94"/>
  <c r="H272" i="94"/>
  <c r="G272" i="94"/>
  <c r="F272" i="94"/>
  <c r="E272" i="94"/>
  <c r="D272" i="94"/>
  <c r="C272" i="94"/>
  <c r="B272" i="94"/>
  <c r="A272" i="94"/>
  <c r="AF271" i="94"/>
  <c r="AE271" i="94"/>
  <c r="AD271" i="94"/>
  <c r="AC271" i="94"/>
  <c r="AB271" i="94"/>
  <c r="AA271" i="94"/>
  <c r="Z271" i="94"/>
  <c r="Y271" i="94"/>
  <c r="X271" i="94"/>
  <c r="W271" i="94"/>
  <c r="V271" i="94"/>
  <c r="U271" i="94"/>
  <c r="T271" i="94"/>
  <c r="S271" i="94"/>
  <c r="R271" i="94"/>
  <c r="Q271" i="94"/>
  <c r="P271" i="94"/>
  <c r="O271" i="94"/>
  <c r="N271" i="94"/>
  <c r="M271" i="94"/>
  <c r="L271" i="94"/>
  <c r="K271" i="94"/>
  <c r="J271" i="94"/>
  <c r="I271" i="94"/>
  <c r="H271" i="94"/>
  <c r="G271" i="94"/>
  <c r="F271" i="94"/>
  <c r="E271" i="94"/>
  <c r="D271" i="94"/>
  <c r="C271" i="94"/>
  <c r="B271" i="94"/>
  <c r="A271" i="94"/>
  <c r="AE270" i="94"/>
  <c r="AD270" i="94"/>
  <c r="AC270" i="94"/>
  <c r="AB270" i="94"/>
  <c r="AA270" i="94"/>
  <c r="Z270" i="94"/>
  <c r="Y270" i="94"/>
  <c r="X270" i="94"/>
  <c r="W270" i="94"/>
  <c r="V270" i="94"/>
  <c r="U270" i="94"/>
  <c r="T270" i="94"/>
  <c r="S270" i="94"/>
  <c r="R270" i="94"/>
  <c r="Q270" i="94"/>
  <c r="P270" i="94"/>
  <c r="B270" i="94"/>
  <c r="S245" i="94"/>
  <c r="AG235" i="94"/>
  <c r="AF235" i="94"/>
  <c r="AE235" i="94"/>
  <c r="AD235" i="94"/>
  <c r="AC235" i="94"/>
  <c r="AB235" i="94"/>
  <c r="AA235" i="94"/>
  <c r="Z235" i="94"/>
  <c r="Y235" i="94"/>
  <c r="X235" i="94"/>
  <c r="W235" i="94"/>
  <c r="V235" i="94"/>
  <c r="U235" i="94"/>
  <c r="T235" i="94"/>
  <c r="S235" i="94"/>
  <c r="R235" i="94"/>
  <c r="Q235" i="94"/>
  <c r="C235" i="94"/>
  <c r="D234" i="94"/>
  <c r="C270" i="94" s="1"/>
  <c r="B234" i="94"/>
  <c r="AF270" i="94" s="1"/>
  <c r="D233" i="94"/>
  <c r="E233" i="94" s="1"/>
  <c r="F233" i="94" s="1"/>
  <c r="G233" i="94" s="1"/>
  <c r="H233" i="94" s="1"/>
  <c r="I233" i="94" s="1"/>
  <c r="J233" i="94" s="1"/>
  <c r="K233" i="94" s="1"/>
  <c r="L233" i="94" s="1"/>
  <c r="M233" i="94" s="1"/>
  <c r="N233" i="94" s="1"/>
  <c r="O233" i="94" s="1"/>
  <c r="P233" i="94" s="1"/>
  <c r="B233" i="94"/>
  <c r="D232" i="94"/>
  <c r="E232" i="94" s="1"/>
  <c r="F232" i="94" s="1"/>
  <c r="G232" i="94" s="1"/>
  <c r="H232" i="94" s="1"/>
  <c r="I232" i="94" s="1"/>
  <c r="B232" i="94"/>
  <c r="F231" i="94"/>
  <c r="G231" i="94" s="1"/>
  <c r="H231" i="94" s="1"/>
  <c r="E231" i="94"/>
  <c r="D231" i="94"/>
  <c r="B231" i="94"/>
  <c r="D230" i="94"/>
  <c r="D235" i="94" s="1"/>
  <c r="B230" i="94"/>
  <c r="D229" i="94"/>
  <c r="E229" i="94" s="1"/>
  <c r="B229" i="94"/>
  <c r="B235" i="94" s="1"/>
  <c r="AG227" i="94"/>
  <c r="AF227" i="94"/>
  <c r="AE227" i="94"/>
  <c r="AD227" i="94"/>
  <c r="AC227" i="94"/>
  <c r="AB227" i="94"/>
  <c r="AA227" i="94"/>
  <c r="Z227" i="94"/>
  <c r="Y227" i="94"/>
  <c r="X227" i="94"/>
  <c r="W227" i="94"/>
  <c r="V227" i="94"/>
  <c r="U227" i="94"/>
  <c r="T227" i="94"/>
  <c r="S227" i="94"/>
  <c r="R227" i="94"/>
  <c r="Q227" i="94"/>
  <c r="P227" i="94"/>
  <c r="O227" i="94"/>
  <c r="N227" i="94"/>
  <c r="M227" i="94"/>
  <c r="L227" i="94"/>
  <c r="K227" i="94"/>
  <c r="J227" i="94"/>
  <c r="I227" i="94"/>
  <c r="H227" i="94"/>
  <c r="G227" i="94"/>
  <c r="F227" i="94"/>
  <c r="E227" i="94"/>
  <c r="D227" i="94"/>
  <c r="C227" i="94"/>
  <c r="B227" i="94"/>
  <c r="AI120" i="94"/>
  <c r="AH120" i="94"/>
  <c r="AI119" i="94"/>
  <c r="AH119" i="94"/>
  <c r="AI118" i="94"/>
  <c r="AH118" i="94"/>
  <c r="AI117" i="94"/>
  <c r="AH117" i="94"/>
  <c r="AI116" i="94"/>
  <c r="AH116" i="94"/>
  <c r="AI115" i="94"/>
  <c r="AH115" i="94"/>
  <c r="AI114" i="94"/>
  <c r="AH114" i="94"/>
  <c r="AI112" i="94"/>
  <c r="AH112" i="94"/>
  <c r="AI111" i="94"/>
  <c r="AH111" i="94"/>
  <c r="AE110" i="94"/>
  <c r="AC110" i="94"/>
  <c r="AB110" i="94"/>
  <c r="AA110" i="94"/>
  <c r="Z110" i="94"/>
  <c r="Y110" i="94"/>
  <c r="X110" i="94"/>
  <c r="W110" i="94"/>
  <c r="V110" i="94"/>
  <c r="U110" i="94"/>
  <c r="T110" i="94"/>
  <c r="S110" i="94"/>
  <c r="R110" i="94"/>
  <c r="Q110" i="94"/>
  <c r="D110" i="94"/>
  <c r="AI109" i="94"/>
  <c r="AH109" i="94"/>
  <c r="AI108" i="94"/>
  <c r="AH108" i="94"/>
  <c r="AH107" i="94"/>
  <c r="AI106" i="94"/>
  <c r="AH106" i="94"/>
  <c r="AI105" i="94"/>
  <c r="AH105" i="94"/>
  <c r="AI104" i="94"/>
  <c r="AH104" i="94"/>
  <c r="AI103" i="94"/>
  <c r="AH103" i="94"/>
  <c r="AI102" i="94"/>
  <c r="AH102" i="94"/>
  <c r="AI101" i="94"/>
  <c r="AH101" i="94"/>
  <c r="G100" i="94"/>
  <c r="AD99" i="94"/>
  <c r="AC99" i="94"/>
  <c r="AB99" i="94"/>
  <c r="AA99" i="94"/>
  <c r="Z99" i="94"/>
  <c r="Y99" i="94"/>
  <c r="X99" i="94"/>
  <c r="W99" i="94"/>
  <c r="V99" i="94"/>
  <c r="U99" i="94"/>
  <c r="T99" i="94"/>
  <c r="S99" i="94"/>
  <c r="R99" i="94"/>
  <c r="Q99" i="94"/>
  <c r="P99" i="94"/>
  <c r="O99" i="94"/>
  <c r="N99" i="94"/>
  <c r="M99" i="94"/>
  <c r="L99" i="94"/>
  <c r="K99" i="94"/>
  <c r="J99" i="94"/>
  <c r="I99" i="94"/>
  <c r="H99" i="94"/>
  <c r="G99" i="94"/>
  <c r="F99" i="94"/>
  <c r="E99" i="94"/>
  <c r="D99" i="94"/>
  <c r="AI98" i="94"/>
  <c r="AH98" i="94"/>
  <c r="AI97" i="94"/>
  <c r="AH97" i="94"/>
  <c r="AI96" i="94"/>
  <c r="AH96" i="94"/>
  <c r="AI95" i="94"/>
  <c r="AH95" i="94"/>
  <c r="AI94" i="94"/>
  <c r="AH94" i="94"/>
  <c r="AI93" i="94"/>
  <c r="AH93" i="94"/>
  <c r="AI90" i="94"/>
  <c r="AH90" i="94"/>
  <c r="AI88" i="94"/>
  <c r="AH88" i="94"/>
  <c r="AG88" i="94"/>
  <c r="AG91" i="94" s="1"/>
  <c r="AI87" i="94"/>
  <c r="AH87" i="94"/>
  <c r="AI86" i="94"/>
  <c r="AH86" i="94"/>
  <c r="AI85" i="94"/>
  <c r="AH85" i="94"/>
  <c r="AG84" i="94"/>
  <c r="AD84" i="94"/>
  <c r="AD100" i="94" s="1"/>
  <c r="AC84" i="94"/>
  <c r="AC100" i="94" s="1"/>
  <c r="AB84" i="94"/>
  <c r="AB100" i="94" s="1"/>
  <c r="AA84" i="94"/>
  <c r="AA100" i="94" s="1"/>
  <c r="Z84" i="94"/>
  <c r="Z100" i="94" s="1"/>
  <c r="Y84" i="94"/>
  <c r="Y100" i="94" s="1"/>
  <c r="X84" i="94"/>
  <c r="X100" i="94" s="1"/>
  <c r="W84" i="94"/>
  <c r="W100" i="94" s="1"/>
  <c r="V84" i="94"/>
  <c r="V100" i="94" s="1"/>
  <c r="U84" i="94"/>
  <c r="U100" i="94" s="1"/>
  <c r="T84" i="94"/>
  <c r="T100" i="94" s="1"/>
  <c r="S84" i="94"/>
  <c r="S100" i="94" s="1"/>
  <c r="R84" i="94"/>
  <c r="Q84" i="94"/>
  <c r="Q100" i="94" s="1"/>
  <c r="P84" i="94"/>
  <c r="P100" i="94" s="1"/>
  <c r="O84" i="94"/>
  <c r="O100" i="94" s="1"/>
  <c r="N84" i="94"/>
  <c r="N100" i="94" s="1"/>
  <c r="M84" i="94"/>
  <c r="L84" i="94"/>
  <c r="L100" i="94" s="1"/>
  <c r="K84" i="94"/>
  <c r="K100" i="94" s="1"/>
  <c r="J84" i="94"/>
  <c r="J100" i="94" s="1"/>
  <c r="I84" i="94"/>
  <c r="H5" i="94" s="1"/>
  <c r="H84" i="94"/>
  <c r="H100" i="94" s="1"/>
  <c r="G84" i="94"/>
  <c r="F5" i="94" s="1"/>
  <c r="F84" i="94"/>
  <c r="F100" i="94" s="1"/>
  <c r="E84" i="94"/>
  <c r="E100" i="94" s="1"/>
  <c r="D84" i="94"/>
  <c r="D100" i="94" s="1"/>
  <c r="AI83" i="94"/>
  <c r="AH83" i="94"/>
  <c r="AI82" i="94"/>
  <c r="AH82" i="94"/>
  <c r="AI81" i="94"/>
  <c r="AH81" i="94"/>
  <c r="AI80" i="94"/>
  <c r="AH80" i="94"/>
  <c r="AI79" i="94"/>
  <c r="AH79" i="94"/>
  <c r="AI78" i="94"/>
  <c r="AH78" i="94"/>
  <c r="AI77" i="94"/>
  <c r="AH77" i="94"/>
  <c r="AI76" i="94"/>
  <c r="AH76" i="94"/>
  <c r="AI75" i="94"/>
  <c r="AH75" i="94"/>
  <c r="AI74" i="94"/>
  <c r="AH74" i="94"/>
  <c r="AI73" i="94"/>
  <c r="AH73" i="94"/>
  <c r="AG72" i="94"/>
  <c r="AD72" i="94"/>
  <c r="AC72" i="94"/>
  <c r="AB72" i="94"/>
  <c r="X72" i="94"/>
  <c r="W72" i="94"/>
  <c r="V72" i="94"/>
  <c r="U72" i="94"/>
  <c r="T72" i="94"/>
  <c r="S72" i="94"/>
  <c r="R72" i="94"/>
  <c r="Q72" i="94"/>
  <c r="P72" i="94"/>
  <c r="O72" i="94"/>
  <c r="N72" i="94"/>
  <c r="M72" i="94"/>
  <c r="L72" i="94"/>
  <c r="AI71" i="94"/>
  <c r="AH71" i="94"/>
  <c r="AI70" i="94"/>
  <c r="AH70" i="94"/>
  <c r="AI69" i="94"/>
  <c r="AH69" i="94"/>
  <c r="AG68" i="94"/>
  <c r="AG3" i="94" s="1"/>
  <c r="AD68" i="94"/>
  <c r="AC68" i="94"/>
  <c r="AB68" i="94"/>
  <c r="AA68" i="94"/>
  <c r="X68" i="94"/>
  <c r="W68" i="94"/>
  <c r="V68" i="94"/>
  <c r="U68" i="94"/>
  <c r="T68" i="94"/>
  <c r="S68" i="94"/>
  <c r="R68" i="94"/>
  <c r="Q68" i="94"/>
  <c r="P68" i="94"/>
  <c r="O68" i="94"/>
  <c r="N68" i="94"/>
  <c r="M68" i="94"/>
  <c r="L68" i="94"/>
  <c r="K68" i="94"/>
  <c r="J68" i="94"/>
  <c r="I68" i="94"/>
  <c r="H68" i="94"/>
  <c r="G68" i="94"/>
  <c r="F68" i="94"/>
  <c r="E68" i="94"/>
  <c r="AI67" i="94"/>
  <c r="AH67" i="94"/>
  <c r="AG67" i="94"/>
  <c r="AI66" i="94"/>
  <c r="AH66" i="94"/>
  <c r="AI65" i="94"/>
  <c r="AH65" i="94"/>
  <c r="AI64" i="94"/>
  <c r="AH64" i="94"/>
  <c r="AI63" i="94"/>
  <c r="AH63" i="94"/>
  <c r="AI62" i="94"/>
  <c r="AH62" i="94"/>
  <c r="AI61" i="94"/>
  <c r="AH61" i="94"/>
  <c r="AI60" i="94"/>
  <c r="AH60" i="94"/>
  <c r="AI59" i="94"/>
  <c r="AH59" i="94"/>
  <c r="AI58" i="94"/>
  <c r="AH58" i="94"/>
  <c r="AI57" i="94"/>
  <c r="AH57" i="94"/>
  <c r="AI56" i="94"/>
  <c r="AH56" i="94"/>
  <c r="AI55" i="94"/>
  <c r="AH55" i="94"/>
  <c r="AG54" i="94"/>
  <c r="AD54" i="94"/>
  <c r="AC54" i="94"/>
  <c r="AA54" i="94"/>
  <c r="Z54" i="94"/>
  <c r="Y54" i="94"/>
  <c r="X54" i="94"/>
  <c r="W54" i="94"/>
  <c r="V54" i="94"/>
  <c r="U54" i="94"/>
  <c r="T54" i="94"/>
  <c r="S54" i="94"/>
  <c r="R54" i="94"/>
  <c r="Q54" i="94"/>
  <c r="P54" i="94"/>
  <c r="O54" i="94"/>
  <c r="N54" i="94"/>
  <c r="M54" i="94"/>
  <c r="L54" i="94"/>
  <c r="K54" i="94"/>
  <c r="J54" i="94"/>
  <c r="I54" i="94"/>
  <c r="H54" i="94"/>
  <c r="G54" i="94"/>
  <c r="F54" i="94"/>
  <c r="E54" i="94"/>
  <c r="AI53" i="94"/>
  <c r="AH53" i="94"/>
  <c r="AI52" i="94"/>
  <c r="AH52" i="94"/>
  <c r="AI51" i="94"/>
  <c r="AH51" i="94"/>
  <c r="AG50" i="94"/>
  <c r="AG89" i="94" s="1"/>
  <c r="AD50" i="94"/>
  <c r="AD89" i="94" s="1"/>
  <c r="AD91" i="94" s="1"/>
  <c r="AC50" i="94"/>
  <c r="AA50" i="94"/>
  <c r="Z50" i="94"/>
  <c r="Y50" i="94"/>
  <c r="X50" i="94"/>
  <c r="V50" i="94"/>
  <c r="U50" i="94"/>
  <c r="T50" i="94"/>
  <c r="S50" i="94"/>
  <c r="R50" i="94"/>
  <c r="Q50" i="94"/>
  <c r="P50" i="94"/>
  <c r="O50" i="94"/>
  <c r="N50" i="94"/>
  <c r="M50" i="94"/>
  <c r="L50" i="94"/>
  <c r="K50" i="94"/>
  <c r="I50" i="94"/>
  <c r="H50" i="94"/>
  <c r="G50" i="94"/>
  <c r="F50" i="94"/>
  <c r="E50" i="94"/>
  <c r="AI48" i="94"/>
  <c r="AH48" i="94"/>
  <c r="AI47" i="94"/>
  <c r="AH47" i="94"/>
  <c r="AI46" i="94"/>
  <c r="AH46" i="94"/>
  <c r="AI45" i="94"/>
  <c r="AH45" i="94"/>
  <c r="AI44" i="94"/>
  <c r="AH44" i="94"/>
  <c r="AI43" i="94"/>
  <c r="AH43" i="94"/>
  <c r="AI42" i="94"/>
  <c r="AH42" i="94"/>
  <c r="AI41" i="94"/>
  <c r="AH41" i="94"/>
  <c r="AI40" i="94"/>
  <c r="AH40" i="94"/>
  <c r="AI39" i="94"/>
  <c r="AH39" i="94"/>
  <c r="AI38" i="94"/>
  <c r="AH38" i="94"/>
  <c r="AI37" i="94"/>
  <c r="AH37" i="94"/>
  <c r="AI36" i="94"/>
  <c r="AH36" i="94"/>
  <c r="AI35" i="94"/>
  <c r="AH35" i="94"/>
  <c r="AI34" i="94"/>
  <c r="AH34" i="94"/>
  <c r="AI33" i="94"/>
  <c r="AH33" i="94"/>
  <c r="AI32" i="94"/>
  <c r="AH32" i="94"/>
  <c r="AI31" i="94"/>
  <c r="AH31" i="94"/>
  <c r="AI30" i="94"/>
  <c r="AH30" i="94"/>
  <c r="AI29" i="94"/>
  <c r="AH29" i="94"/>
  <c r="AI28" i="94"/>
  <c r="AH28" i="94"/>
  <c r="AI27" i="94"/>
  <c r="AH27" i="94"/>
  <c r="AI26" i="94"/>
  <c r="AH26" i="94"/>
  <c r="AI25" i="94"/>
  <c r="AH25" i="94"/>
  <c r="AI23" i="94"/>
  <c r="AH23" i="94"/>
  <c r="AI22" i="94"/>
  <c r="AH22" i="94"/>
  <c r="AI21" i="94"/>
  <c r="AH21" i="94"/>
  <c r="AI20" i="94"/>
  <c r="AH20" i="94"/>
  <c r="AI19" i="94"/>
  <c r="AH19" i="94"/>
  <c r="AI18" i="94"/>
  <c r="AH18" i="94"/>
  <c r="AI17" i="94"/>
  <c r="AH17" i="94"/>
  <c r="AI16" i="94"/>
  <c r="AH16" i="94"/>
  <c r="AI15" i="94"/>
  <c r="AH15" i="94"/>
  <c r="AI14" i="94"/>
  <c r="AH14" i="94"/>
  <c r="AI13" i="94"/>
  <c r="AH13" i="94"/>
  <c r="AI11" i="94"/>
  <c r="AH11" i="94"/>
  <c r="AE5" i="94"/>
  <c r="AD5" i="94"/>
  <c r="Q5" i="94"/>
  <c r="J5" i="94"/>
  <c r="I5" i="94"/>
  <c r="AG4" i="94"/>
  <c r="K4" i="94"/>
  <c r="E4" i="94"/>
  <c r="H4" i="94" s="1"/>
  <c r="B4" i="94"/>
  <c r="S246" i="94" s="1"/>
  <c r="AF113" i="93"/>
  <c r="AF24" i="93"/>
  <c r="AF50" i="93" s="1"/>
  <c r="AF49" i="93"/>
  <c r="AF54" i="93"/>
  <c r="AF68" i="93"/>
  <c r="AF72" i="93"/>
  <c r="AF84" i="93"/>
  <c r="AF100" i="93" s="1"/>
  <c r="AF99" i="93"/>
  <c r="AF110" i="93"/>
  <c r="AE113" i="93"/>
  <c r="AE49" i="93"/>
  <c r="AE24" i="93"/>
  <c r="AE50" i="93"/>
  <c r="AE54" i="93"/>
  <c r="AE68" i="93"/>
  <c r="AE72" i="93"/>
  <c r="AE84" i="93"/>
  <c r="AD5" i="93" s="1"/>
  <c r="AD113" i="93"/>
  <c r="AD49" i="93"/>
  <c r="AD24" i="93"/>
  <c r="AD50" i="93"/>
  <c r="AJ17" i="93"/>
  <c r="AC113" i="93"/>
  <c r="AC49" i="93"/>
  <c r="AB113" i="93"/>
  <c r="AB49" i="93"/>
  <c r="Z72" i="93"/>
  <c r="U113" i="93"/>
  <c r="Q49" i="93"/>
  <c r="P49" i="93"/>
  <c r="O49" i="93"/>
  <c r="M84" i="93"/>
  <c r="L50" i="93"/>
  <c r="L54" i="93"/>
  <c r="L68" i="93"/>
  <c r="L84" i="93"/>
  <c r="L100" i="93" s="1"/>
  <c r="L99" i="93"/>
  <c r="L110" i="93"/>
  <c r="K50" i="93"/>
  <c r="K54" i="93"/>
  <c r="K68" i="93"/>
  <c r="K84" i="93"/>
  <c r="K99" i="93"/>
  <c r="K110" i="93"/>
  <c r="J68" i="93"/>
  <c r="H68" i="93"/>
  <c r="I68" i="93"/>
  <c r="J50" i="93"/>
  <c r="J54" i="93"/>
  <c r="J84" i="93"/>
  <c r="J100" i="93" s="1"/>
  <c r="J99" i="93"/>
  <c r="J110" i="93"/>
  <c r="H110" i="93"/>
  <c r="I110" i="93"/>
  <c r="I50" i="93"/>
  <c r="I54" i="93"/>
  <c r="I84" i="93"/>
  <c r="I100" i="93" s="1"/>
  <c r="I99" i="93"/>
  <c r="Q15" i="14"/>
  <c r="G50" i="93"/>
  <c r="G54" i="93"/>
  <c r="G68" i="93"/>
  <c r="G72" i="93"/>
  <c r="G84" i="93"/>
  <c r="G100" i="93" s="1"/>
  <c r="G99" i="93"/>
  <c r="G110" i="93"/>
  <c r="F50" i="93"/>
  <c r="F54" i="93"/>
  <c r="F68" i="93"/>
  <c r="F72" i="93"/>
  <c r="F84" i="93"/>
  <c r="F100" i="93" s="1"/>
  <c r="F99" i="93"/>
  <c r="F110" i="93"/>
  <c r="E50" i="93"/>
  <c r="E54" i="93"/>
  <c r="E68" i="93"/>
  <c r="E72" i="93"/>
  <c r="E84" i="93"/>
  <c r="E99" i="93"/>
  <c r="E110" i="93"/>
  <c r="D50" i="93"/>
  <c r="D54" i="93"/>
  <c r="D68" i="93"/>
  <c r="D72" i="93"/>
  <c r="C50" i="93"/>
  <c r="C54" i="93"/>
  <c r="C68" i="93"/>
  <c r="C72" i="93"/>
  <c r="C84" i="93"/>
  <c r="C100" i="93" s="1"/>
  <c r="C99" i="93"/>
  <c r="B99" i="93"/>
  <c r="B84" i="93"/>
  <c r="B100" i="93" s="1"/>
  <c r="B72" i="93"/>
  <c r="B68" i="93"/>
  <c r="B54" i="93"/>
  <c r="B50" i="93"/>
  <c r="AF274" i="93"/>
  <c r="AE274" i="93"/>
  <c r="AD274" i="93"/>
  <c r="AC274" i="93"/>
  <c r="AB274" i="93"/>
  <c r="AA274" i="93"/>
  <c r="Z274" i="93"/>
  <c r="Y274" i="93"/>
  <c r="X274" i="93"/>
  <c r="W274" i="93"/>
  <c r="V274" i="93"/>
  <c r="U274" i="93"/>
  <c r="T274" i="93"/>
  <c r="S274" i="93"/>
  <c r="R274" i="93"/>
  <c r="Q274" i="93"/>
  <c r="P274" i="93"/>
  <c r="O274" i="93"/>
  <c r="N274" i="93"/>
  <c r="M274" i="93"/>
  <c r="L274" i="93"/>
  <c r="K274" i="93"/>
  <c r="J274" i="93"/>
  <c r="I274" i="93"/>
  <c r="H274" i="93"/>
  <c r="G274" i="93"/>
  <c r="F274" i="93"/>
  <c r="E274" i="93"/>
  <c r="D274" i="93"/>
  <c r="C274" i="93"/>
  <c r="B274" i="93"/>
  <c r="A274" i="93"/>
  <c r="AF273" i="93"/>
  <c r="AE273" i="93"/>
  <c r="AD273" i="93"/>
  <c r="AC273" i="93"/>
  <c r="AB273" i="93"/>
  <c r="AA273" i="93"/>
  <c r="Z273" i="93"/>
  <c r="Y273" i="93"/>
  <c r="X273" i="93"/>
  <c r="W273" i="93"/>
  <c r="V273" i="93"/>
  <c r="U273" i="93"/>
  <c r="T273" i="93"/>
  <c r="S273" i="93"/>
  <c r="R273" i="93"/>
  <c r="Q273" i="93"/>
  <c r="P273" i="93"/>
  <c r="O273" i="93"/>
  <c r="N273" i="93"/>
  <c r="M273" i="93"/>
  <c r="L273" i="93"/>
  <c r="K273" i="93"/>
  <c r="J273" i="93"/>
  <c r="I273" i="93"/>
  <c r="H273" i="93"/>
  <c r="G273" i="93"/>
  <c r="F273" i="93"/>
  <c r="E273" i="93"/>
  <c r="D273" i="93"/>
  <c r="C273" i="93"/>
  <c r="B273" i="93"/>
  <c r="A273" i="93"/>
  <c r="AF272" i="93"/>
  <c r="AE272" i="93"/>
  <c r="AD272" i="93"/>
  <c r="AC272" i="93"/>
  <c r="AB272" i="93"/>
  <c r="AA272" i="93"/>
  <c r="Z272" i="93"/>
  <c r="Y272" i="93"/>
  <c r="X272" i="93"/>
  <c r="W272" i="93"/>
  <c r="V272" i="93"/>
  <c r="U272" i="93"/>
  <c r="T272" i="93"/>
  <c r="S272" i="93"/>
  <c r="R272" i="93"/>
  <c r="Q272" i="93"/>
  <c r="P272" i="93"/>
  <c r="O272" i="93"/>
  <c r="N272" i="93"/>
  <c r="M272" i="93"/>
  <c r="L272" i="93"/>
  <c r="K272" i="93"/>
  <c r="J272" i="93"/>
  <c r="I272" i="93"/>
  <c r="H272" i="93"/>
  <c r="G272" i="93"/>
  <c r="F272" i="93"/>
  <c r="E272" i="93"/>
  <c r="D272" i="93"/>
  <c r="C272" i="93"/>
  <c r="B272" i="93"/>
  <c r="A272" i="93"/>
  <c r="AF271" i="93"/>
  <c r="AE271" i="93"/>
  <c r="AD271" i="93"/>
  <c r="AC271" i="93"/>
  <c r="AB271" i="93"/>
  <c r="AA271" i="93"/>
  <c r="Z271" i="93"/>
  <c r="Y271" i="93"/>
  <c r="X271" i="93"/>
  <c r="W271" i="93"/>
  <c r="V271" i="93"/>
  <c r="U271" i="93"/>
  <c r="T271" i="93"/>
  <c r="S271" i="93"/>
  <c r="R271" i="93"/>
  <c r="Q271" i="93"/>
  <c r="P271" i="93"/>
  <c r="O271" i="93"/>
  <c r="N271" i="93"/>
  <c r="M271" i="93"/>
  <c r="L271" i="93"/>
  <c r="K271" i="93"/>
  <c r="J271" i="93"/>
  <c r="I271" i="93"/>
  <c r="H271" i="93"/>
  <c r="G271" i="93"/>
  <c r="F271" i="93"/>
  <c r="E271" i="93"/>
  <c r="D271" i="93"/>
  <c r="C271" i="93"/>
  <c r="B271" i="93"/>
  <c r="A271" i="93"/>
  <c r="AE270" i="93"/>
  <c r="AD270" i="93"/>
  <c r="AC270" i="93"/>
  <c r="AB270" i="93"/>
  <c r="AA270" i="93"/>
  <c r="Z270" i="93"/>
  <c r="Y270" i="93"/>
  <c r="X270" i="93"/>
  <c r="W270" i="93"/>
  <c r="V270" i="93"/>
  <c r="U270" i="93"/>
  <c r="T270" i="93"/>
  <c r="S270" i="93"/>
  <c r="R270" i="93"/>
  <c r="Q270" i="93"/>
  <c r="P270" i="93"/>
  <c r="B270" i="93"/>
  <c r="S245" i="93"/>
  <c r="AG235" i="93"/>
  <c r="AF235" i="93"/>
  <c r="AE235" i="93"/>
  <c r="AD235" i="93"/>
  <c r="AC235" i="93"/>
  <c r="AB235" i="93"/>
  <c r="AA235" i="93"/>
  <c r="Z235" i="93"/>
  <c r="Y235" i="93"/>
  <c r="X235" i="93"/>
  <c r="W235" i="93"/>
  <c r="V235" i="93"/>
  <c r="U235" i="93"/>
  <c r="T235" i="93"/>
  <c r="S235" i="93"/>
  <c r="R235" i="93"/>
  <c r="Q235" i="93"/>
  <c r="C235" i="93"/>
  <c r="D234" i="93"/>
  <c r="C270" i="93" s="1"/>
  <c r="B234" i="93"/>
  <c r="AF270" i="93" s="1"/>
  <c r="E233" i="93"/>
  <c r="F233" i="93" s="1"/>
  <c r="G233" i="93" s="1"/>
  <c r="H233" i="93" s="1"/>
  <c r="I233" i="93" s="1"/>
  <c r="J233" i="93" s="1"/>
  <c r="K233" i="93" s="1"/>
  <c r="L233" i="93" s="1"/>
  <c r="M233" i="93" s="1"/>
  <c r="N233" i="93" s="1"/>
  <c r="O233" i="93" s="1"/>
  <c r="P233" i="93" s="1"/>
  <c r="D233" i="93"/>
  <c r="B233" i="93"/>
  <c r="D232" i="93"/>
  <c r="E232" i="93" s="1"/>
  <c r="F232" i="93" s="1"/>
  <c r="G232" i="93" s="1"/>
  <c r="H232" i="93" s="1"/>
  <c r="I232" i="93" s="1"/>
  <c r="B232" i="93"/>
  <c r="F231" i="93"/>
  <c r="G231" i="93" s="1"/>
  <c r="H231" i="93" s="1"/>
  <c r="E231" i="93"/>
  <c r="D231" i="93"/>
  <c r="B231" i="93"/>
  <c r="D230" i="93"/>
  <c r="D235" i="93" s="1"/>
  <c r="B230" i="93"/>
  <c r="E229" i="93"/>
  <c r="F229" i="93" s="1"/>
  <c r="D229" i="93"/>
  <c r="B229" i="93"/>
  <c r="B235" i="93" s="1"/>
  <c r="AG227" i="93"/>
  <c r="AF227" i="93"/>
  <c r="AE227" i="93"/>
  <c r="AD227" i="93"/>
  <c r="AC227" i="93"/>
  <c r="AB227" i="93"/>
  <c r="AA227" i="93"/>
  <c r="Z227" i="93"/>
  <c r="Y227" i="93"/>
  <c r="X227" i="93"/>
  <c r="W227" i="93"/>
  <c r="V227" i="93"/>
  <c r="U227" i="93"/>
  <c r="T227" i="93"/>
  <c r="S227" i="93"/>
  <c r="R227" i="93"/>
  <c r="Q227" i="93"/>
  <c r="P227" i="93"/>
  <c r="O227" i="93"/>
  <c r="N227" i="93"/>
  <c r="M227" i="93"/>
  <c r="L227" i="93"/>
  <c r="K227" i="93"/>
  <c r="J227" i="93"/>
  <c r="I227" i="93"/>
  <c r="H227" i="93"/>
  <c r="G227" i="93"/>
  <c r="F227" i="93"/>
  <c r="E227" i="93"/>
  <c r="D227" i="93"/>
  <c r="C227" i="93"/>
  <c r="B227" i="93"/>
  <c r="AI120" i="93"/>
  <c r="AH120" i="93"/>
  <c r="AI119" i="93"/>
  <c r="AH119" i="93"/>
  <c r="AI118" i="93"/>
  <c r="AH118" i="93"/>
  <c r="AI117" i="93"/>
  <c r="AH117" i="93"/>
  <c r="AI116" i="93"/>
  <c r="AH116" i="93"/>
  <c r="AI115" i="93"/>
  <c r="AH115" i="93"/>
  <c r="AI114" i="93"/>
  <c r="AH114" i="93"/>
  <c r="AH113" i="93"/>
  <c r="AI112" i="93"/>
  <c r="AH112" i="93"/>
  <c r="AI111" i="93"/>
  <c r="AH111" i="93"/>
  <c r="AE110" i="93"/>
  <c r="AC110" i="93"/>
  <c r="AB110" i="93"/>
  <c r="AA110" i="93"/>
  <c r="Z110" i="93"/>
  <c r="Y110" i="93"/>
  <c r="X110" i="93"/>
  <c r="W110" i="93"/>
  <c r="V110" i="93"/>
  <c r="U110" i="93"/>
  <c r="T110" i="93"/>
  <c r="S110" i="93"/>
  <c r="R110" i="93"/>
  <c r="Q110" i="93"/>
  <c r="D110" i="93"/>
  <c r="AI109" i="93"/>
  <c r="AH109" i="93"/>
  <c r="AI108" i="93"/>
  <c r="AH108" i="93"/>
  <c r="AI107" i="93"/>
  <c r="AH107" i="93"/>
  <c r="AI106" i="93"/>
  <c r="AH106" i="93"/>
  <c r="AI105" i="93"/>
  <c r="AH105" i="93"/>
  <c r="AI104" i="93"/>
  <c r="AH104" i="93"/>
  <c r="AI103" i="93"/>
  <c r="AH103" i="93"/>
  <c r="AI102" i="93"/>
  <c r="AH102" i="93"/>
  <c r="AI101" i="93"/>
  <c r="AH101" i="93"/>
  <c r="AE100" i="93"/>
  <c r="AE99" i="93"/>
  <c r="AD99" i="93"/>
  <c r="AC99" i="93"/>
  <c r="AB99" i="93"/>
  <c r="AA99" i="93"/>
  <c r="Z99" i="93"/>
  <c r="Y99" i="93"/>
  <c r="X99" i="93"/>
  <c r="W99" i="93"/>
  <c r="W100" i="93" s="1"/>
  <c r="V99" i="93"/>
  <c r="U99" i="93"/>
  <c r="T99" i="93"/>
  <c r="S99" i="93"/>
  <c r="R99" i="93"/>
  <c r="Q99" i="93"/>
  <c r="P99" i="93"/>
  <c r="O99" i="93"/>
  <c r="N99" i="93"/>
  <c r="M99" i="93"/>
  <c r="H99" i="93"/>
  <c r="D99" i="93"/>
  <c r="AI98" i="93"/>
  <c r="AH98" i="93"/>
  <c r="AI97" i="93"/>
  <c r="AH97" i="93"/>
  <c r="AI96" i="93"/>
  <c r="AH96" i="93"/>
  <c r="AI95" i="93"/>
  <c r="AH95" i="93"/>
  <c r="AI94" i="93"/>
  <c r="AH94" i="93"/>
  <c r="AI93" i="93"/>
  <c r="AH93" i="93"/>
  <c r="AI90" i="93"/>
  <c r="AH90" i="93"/>
  <c r="AI88" i="93"/>
  <c r="AH88" i="93"/>
  <c r="AG88" i="93"/>
  <c r="AG91" i="93" s="1"/>
  <c r="AI87" i="93"/>
  <c r="AH87" i="93"/>
  <c r="AI86" i="93"/>
  <c r="AH86" i="93"/>
  <c r="AI85" i="93"/>
  <c r="AH85" i="93"/>
  <c r="AG84" i="93"/>
  <c r="AD84" i="93"/>
  <c r="AD100" i="93" s="1"/>
  <c r="AC84" i="93"/>
  <c r="AB84" i="93"/>
  <c r="AB100" i="93" s="1"/>
  <c r="AA84" i="93"/>
  <c r="AA100" i="93" s="1"/>
  <c r="Z84" i="93"/>
  <c r="Y5" i="93" s="1"/>
  <c r="Y84" i="93"/>
  <c r="Y100" i="93" s="1"/>
  <c r="X84" i="93"/>
  <c r="X100" i="93" s="1"/>
  <c r="W84" i="93"/>
  <c r="V5" i="93" s="1"/>
  <c r="V84" i="93"/>
  <c r="V100" i="93" s="1"/>
  <c r="U84" i="93"/>
  <c r="U100" i="93" s="1"/>
  <c r="T84" i="93"/>
  <c r="T100" i="93" s="1"/>
  <c r="S84" i="93"/>
  <c r="S100" i="93" s="1"/>
  <c r="R84" i="93"/>
  <c r="Q5" i="93" s="1"/>
  <c r="Q84" i="93"/>
  <c r="Q100" i="93" s="1"/>
  <c r="P84" i="93"/>
  <c r="P100" i="93" s="1"/>
  <c r="O84" i="93"/>
  <c r="N5" i="93" s="1"/>
  <c r="N84" i="93"/>
  <c r="N100" i="93" s="1"/>
  <c r="M100" i="93"/>
  <c r="H84" i="93"/>
  <c r="H100" i="93" s="1"/>
  <c r="D84" i="93"/>
  <c r="D100" i="93" s="1"/>
  <c r="AI83" i="93"/>
  <c r="AH83" i="93"/>
  <c r="AI82" i="93"/>
  <c r="AH82" i="93"/>
  <c r="AI81" i="93"/>
  <c r="AH81" i="93"/>
  <c r="AI80" i="93"/>
  <c r="AH80" i="93"/>
  <c r="AI79" i="93"/>
  <c r="AH79" i="93"/>
  <c r="AI78" i="93"/>
  <c r="AH78" i="93"/>
  <c r="AI77" i="93"/>
  <c r="AH77" i="93"/>
  <c r="AI76" i="93"/>
  <c r="AH76" i="93"/>
  <c r="AI75" i="93"/>
  <c r="AH75" i="93"/>
  <c r="AI74" i="93"/>
  <c r="AH74" i="93"/>
  <c r="AI73" i="93"/>
  <c r="AH73" i="93"/>
  <c r="AG72" i="93"/>
  <c r="AD72" i="93"/>
  <c r="AC72" i="93"/>
  <c r="AB72" i="93"/>
  <c r="AA72" i="93"/>
  <c r="Y72" i="93"/>
  <c r="X72" i="93"/>
  <c r="W72" i="93"/>
  <c r="V72" i="93"/>
  <c r="U72" i="93"/>
  <c r="T72" i="93"/>
  <c r="S72" i="93"/>
  <c r="R72" i="93"/>
  <c r="Q72" i="93"/>
  <c r="P72" i="93"/>
  <c r="O72" i="93"/>
  <c r="N72" i="93"/>
  <c r="M72" i="93"/>
  <c r="AI71" i="93"/>
  <c r="AH71" i="93"/>
  <c r="AI70" i="93"/>
  <c r="AH70" i="93"/>
  <c r="AI69" i="93"/>
  <c r="AH69" i="93"/>
  <c r="AD68" i="93"/>
  <c r="AC68" i="93"/>
  <c r="AB68" i="93"/>
  <c r="AA68" i="93"/>
  <c r="Z68" i="93"/>
  <c r="Y68" i="93"/>
  <c r="X68" i="93"/>
  <c r="W68" i="93"/>
  <c r="V68" i="93"/>
  <c r="U68" i="93"/>
  <c r="T68" i="93"/>
  <c r="S68" i="93"/>
  <c r="R68" i="93"/>
  <c r="Q68" i="93"/>
  <c r="P68" i="93"/>
  <c r="O68" i="93"/>
  <c r="N68" i="93"/>
  <c r="M68" i="93"/>
  <c r="AI67" i="93"/>
  <c r="AH67" i="93"/>
  <c r="AG67" i="93"/>
  <c r="AG68" i="93" s="1"/>
  <c r="AG3" i="93" s="1"/>
  <c r="AI66" i="93"/>
  <c r="AH66" i="93"/>
  <c r="AI65" i="93"/>
  <c r="AH65" i="93"/>
  <c r="AI64" i="93"/>
  <c r="AH64" i="93"/>
  <c r="AI63" i="93"/>
  <c r="AH63" i="93"/>
  <c r="AI62" i="93"/>
  <c r="AH62" i="93"/>
  <c r="AI61" i="93"/>
  <c r="AH61" i="93"/>
  <c r="AI60" i="93"/>
  <c r="AH60" i="93"/>
  <c r="AI59" i="93"/>
  <c r="AH59" i="93"/>
  <c r="AI58" i="93"/>
  <c r="AH58" i="93"/>
  <c r="AI57" i="93"/>
  <c r="AH57" i="93"/>
  <c r="AI56" i="93"/>
  <c r="AH56" i="93"/>
  <c r="AI55" i="93"/>
  <c r="AH55" i="93"/>
  <c r="AG54" i="93"/>
  <c r="AD54" i="93"/>
  <c r="AC54" i="93"/>
  <c r="AB54" i="93"/>
  <c r="AA54" i="93"/>
  <c r="Z54" i="93"/>
  <c r="Y54" i="93"/>
  <c r="X54" i="93"/>
  <c r="W54" i="93"/>
  <c r="V54" i="93"/>
  <c r="U54" i="93"/>
  <c r="T54" i="93"/>
  <c r="S54" i="93"/>
  <c r="R54" i="93"/>
  <c r="Q54" i="93"/>
  <c r="P54" i="93"/>
  <c r="O54" i="93"/>
  <c r="N54" i="93"/>
  <c r="M54" i="93"/>
  <c r="H54" i="93"/>
  <c r="AI53" i="93"/>
  <c r="AH53" i="93"/>
  <c r="AI52" i="93"/>
  <c r="AH52" i="93"/>
  <c r="AI51" i="93"/>
  <c r="AH51" i="93"/>
  <c r="AG50" i="93"/>
  <c r="AC50" i="93"/>
  <c r="AB50" i="93"/>
  <c r="AA50" i="93"/>
  <c r="Z50" i="93"/>
  <c r="Y50" i="93"/>
  <c r="X50" i="93"/>
  <c r="X89" i="93" s="1"/>
  <c r="X91" i="93" s="1"/>
  <c r="W50" i="93"/>
  <c r="V50" i="93"/>
  <c r="U50" i="93"/>
  <c r="T50" i="93"/>
  <c r="S50" i="93"/>
  <c r="R50" i="93"/>
  <c r="Q50" i="93"/>
  <c r="P50" i="93"/>
  <c r="O50" i="93"/>
  <c r="N50" i="93"/>
  <c r="M50" i="93"/>
  <c r="H50" i="93"/>
  <c r="H89" i="93" s="1"/>
  <c r="H91" i="93" s="1"/>
  <c r="AI49" i="93"/>
  <c r="AH49" i="93"/>
  <c r="AI48" i="93"/>
  <c r="AH48" i="93"/>
  <c r="AI47" i="93"/>
  <c r="AH47" i="93"/>
  <c r="AI46" i="93"/>
  <c r="AH46" i="93"/>
  <c r="AI45" i="93"/>
  <c r="AH45" i="93"/>
  <c r="AI44" i="93"/>
  <c r="AH44" i="93"/>
  <c r="AI43" i="93"/>
  <c r="AH43" i="93"/>
  <c r="AI42" i="93"/>
  <c r="AH42" i="93"/>
  <c r="AI41" i="93"/>
  <c r="AH41" i="93"/>
  <c r="AI40" i="93"/>
  <c r="AH40" i="93"/>
  <c r="AI39" i="93"/>
  <c r="AH39" i="93"/>
  <c r="AI38" i="93"/>
  <c r="AH38" i="93"/>
  <c r="AI37" i="93"/>
  <c r="AH37" i="93"/>
  <c r="AI36" i="93"/>
  <c r="AH36" i="93"/>
  <c r="AI35" i="93"/>
  <c r="AH35" i="93"/>
  <c r="AI34" i="93"/>
  <c r="AH34" i="93"/>
  <c r="AI33" i="93"/>
  <c r="AH33" i="93"/>
  <c r="AI32" i="93"/>
  <c r="AH32" i="93"/>
  <c r="AI31" i="93"/>
  <c r="AH31" i="93"/>
  <c r="AI30" i="93"/>
  <c r="AH30" i="93"/>
  <c r="AI29" i="93"/>
  <c r="AH29" i="93"/>
  <c r="AI28" i="93"/>
  <c r="AH28" i="93"/>
  <c r="AI27" i="93"/>
  <c r="AH27" i="93"/>
  <c r="AI26" i="93"/>
  <c r="AH26" i="93"/>
  <c r="AI25" i="93"/>
  <c r="AH25" i="93"/>
  <c r="AI24" i="93"/>
  <c r="AH24" i="93"/>
  <c r="AI23" i="93"/>
  <c r="AH23" i="93"/>
  <c r="AI22" i="93"/>
  <c r="AH22" i="93"/>
  <c r="AI21" i="93"/>
  <c r="AH21" i="93"/>
  <c r="AI20" i="93"/>
  <c r="AH20" i="93"/>
  <c r="AI19" i="93"/>
  <c r="AH19" i="93"/>
  <c r="AI18" i="93"/>
  <c r="AH18" i="93"/>
  <c r="AI17" i="93"/>
  <c r="AH17" i="93"/>
  <c r="AI16" i="93"/>
  <c r="AH16" i="93"/>
  <c r="AI15" i="93"/>
  <c r="AH15" i="93"/>
  <c r="AI14" i="93"/>
  <c r="AH14" i="93"/>
  <c r="AI13" i="93"/>
  <c r="AH13" i="93"/>
  <c r="AI12" i="93"/>
  <c r="AH12" i="93"/>
  <c r="AI11" i="93"/>
  <c r="AH11" i="93"/>
  <c r="AF5" i="93"/>
  <c r="AE5" i="93"/>
  <c r="AA5" i="93"/>
  <c r="W5" i="93"/>
  <c r="T5" i="93"/>
  <c r="K5" i="93"/>
  <c r="I5" i="93"/>
  <c r="G5" i="93"/>
  <c r="F5" i="93"/>
  <c r="D5" i="93"/>
  <c r="AG4" i="93"/>
  <c r="K4" i="93"/>
  <c r="E4" i="93"/>
  <c r="H4" i="93" s="1"/>
  <c r="B4" i="93"/>
  <c r="S246" i="93" s="1"/>
  <c r="AF50" i="92"/>
  <c r="AF54" i="92"/>
  <c r="AF68" i="92"/>
  <c r="AF72" i="92"/>
  <c r="AF84" i="92"/>
  <c r="AF100" i="92" s="1"/>
  <c r="AF99" i="92"/>
  <c r="AE50" i="92"/>
  <c r="AE54" i="92"/>
  <c r="AE68" i="92"/>
  <c r="AE72" i="92"/>
  <c r="AE84" i="92"/>
  <c r="AE99" i="92"/>
  <c r="AB50" i="92"/>
  <c r="AB54" i="92"/>
  <c r="AB68" i="92"/>
  <c r="AB72" i="92"/>
  <c r="AB84" i="92"/>
  <c r="AB99" i="92"/>
  <c r="AB110" i="92"/>
  <c r="T27" i="92"/>
  <c r="S27" i="92"/>
  <c r="R113" i="92"/>
  <c r="R49" i="92"/>
  <c r="R23" i="92"/>
  <c r="R27" i="92"/>
  <c r="Q113" i="92"/>
  <c r="Q49" i="92"/>
  <c r="Q23" i="92"/>
  <c r="Q27" i="92"/>
  <c r="P113" i="92"/>
  <c r="P49" i="92"/>
  <c r="P23" i="92"/>
  <c r="P27" i="92"/>
  <c r="O113" i="92"/>
  <c r="O27" i="92"/>
  <c r="O23" i="92"/>
  <c r="O49" i="92"/>
  <c r="N49" i="92"/>
  <c r="N113" i="92"/>
  <c r="M113" i="92"/>
  <c r="M49" i="92"/>
  <c r="L49" i="92"/>
  <c r="K49" i="92"/>
  <c r="J49" i="92"/>
  <c r="I49" i="92"/>
  <c r="AA5" i="94" l="1"/>
  <c r="Z5" i="94"/>
  <c r="AA89" i="94"/>
  <c r="AA91" i="94" s="1"/>
  <c r="Y5" i="94"/>
  <c r="Z89" i="94"/>
  <c r="Z91" i="94" s="1"/>
  <c r="X5" i="94"/>
  <c r="AB89" i="94"/>
  <c r="AB91" i="94" s="1"/>
  <c r="AC89" i="94"/>
  <c r="AC91" i="94" s="1"/>
  <c r="AC7" i="94" s="1"/>
  <c r="Y91" i="94"/>
  <c r="Y7" i="94" s="1"/>
  <c r="W5" i="94"/>
  <c r="X89" i="94"/>
  <c r="X91" i="94" s="1"/>
  <c r="X7" i="94" s="1"/>
  <c r="V5" i="94"/>
  <c r="W89" i="94"/>
  <c r="W91" i="94" s="1"/>
  <c r="V89" i="94"/>
  <c r="V91" i="94" s="1"/>
  <c r="U89" i="94"/>
  <c r="U91" i="94" s="1"/>
  <c r="S5" i="94"/>
  <c r="T89" i="94"/>
  <c r="T91" i="94" s="1"/>
  <c r="R5" i="94"/>
  <c r="AI72" i="94"/>
  <c r="S89" i="94"/>
  <c r="S91" i="94" s="1"/>
  <c r="S92" i="94" s="1"/>
  <c r="R100" i="94"/>
  <c r="R89" i="94"/>
  <c r="R91" i="94" s="1"/>
  <c r="Q89" i="94"/>
  <c r="Q91" i="94" s="1"/>
  <c r="P5" i="94"/>
  <c r="P89" i="94"/>
  <c r="P91" i="94" s="1"/>
  <c r="O5" i="94"/>
  <c r="N5" i="94"/>
  <c r="O89" i="94"/>
  <c r="O91" i="94" s="1"/>
  <c r="O92" i="94" s="1"/>
  <c r="N89" i="94"/>
  <c r="N91" i="94" s="1"/>
  <c r="M100" i="94"/>
  <c r="M89" i="94"/>
  <c r="M91" i="94" s="1"/>
  <c r="K5" i="94"/>
  <c r="L89" i="94"/>
  <c r="L91" i="94" s="1"/>
  <c r="L92" i="94" s="1"/>
  <c r="K89" i="94"/>
  <c r="K91" i="94" s="1"/>
  <c r="K92" i="94" s="1"/>
  <c r="AH113" i="94"/>
  <c r="J89" i="94"/>
  <c r="J91" i="94" s="1"/>
  <c r="J7" i="94" s="1"/>
  <c r="AH12" i="94"/>
  <c r="AI12" i="94"/>
  <c r="I100" i="94"/>
  <c r="I89" i="94"/>
  <c r="I91" i="94" s="1"/>
  <c r="I92" i="94" s="1"/>
  <c r="G5" i="94"/>
  <c r="H89" i="94"/>
  <c r="H91" i="94" s="1"/>
  <c r="H92" i="94" s="1"/>
  <c r="AH49" i="94"/>
  <c r="AI99" i="94"/>
  <c r="F89" i="94"/>
  <c r="F91" i="94" s="1"/>
  <c r="F7" i="94" s="1"/>
  <c r="G89" i="94"/>
  <c r="G91" i="94" s="1"/>
  <c r="AH54" i="94"/>
  <c r="E89" i="94"/>
  <c r="E91" i="94" s="1"/>
  <c r="E7" i="94" s="1"/>
  <c r="AI68" i="94"/>
  <c r="C5" i="94"/>
  <c r="D89" i="94"/>
  <c r="D91" i="94" s="1"/>
  <c r="D92" i="94" s="1"/>
  <c r="AH72" i="94"/>
  <c r="C100" i="94"/>
  <c r="C89" i="94"/>
  <c r="C91" i="94" s="1"/>
  <c r="C92" i="94" s="1"/>
  <c r="AI113" i="94"/>
  <c r="B89" i="94"/>
  <c r="B91" i="94" s="1"/>
  <c r="B92" i="94" s="1"/>
  <c r="AF5" i="94"/>
  <c r="AI84" i="94"/>
  <c r="AH24" i="94"/>
  <c r="D246" i="94"/>
  <c r="V7" i="94"/>
  <c r="AN249" i="94"/>
  <c r="V92" i="94"/>
  <c r="AD7" i="94"/>
  <c r="AV249" i="94"/>
  <c r="AD92" i="94"/>
  <c r="AO249" i="94"/>
  <c r="W7" i="94"/>
  <c r="W92" i="94"/>
  <c r="AW249" i="94"/>
  <c r="AE7" i="94"/>
  <c r="N7" i="94"/>
  <c r="AF249" i="94"/>
  <c r="N92" i="94"/>
  <c r="P92" i="94"/>
  <c r="P7" i="94"/>
  <c r="AH249" i="94"/>
  <c r="AP249" i="94"/>
  <c r="AX249" i="94"/>
  <c r="AF7" i="94"/>
  <c r="Q92" i="94"/>
  <c r="Q7" i="94"/>
  <c r="AI249" i="94"/>
  <c r="Y92" i="94"/>
  <c r="AQ249" i="94"/>
  <c r="J92" i="94"/>
  <c r="Z92" i="94"/>
  <c r="Z7" i="94"/>
  <c r="AR249" i="94"/>
  <c r="AA92" i="94"/>
  <c r="AA7" i="94"/>
  <c r="AS249" i="94"/>
  <c r="R92" i="94"/>
  <c r="R7" i="94"/>
  <c r="AJ249" i="94"/>
  <c r="T92" i="94"/>
  <c r="T7" i="94"/>
  <c r="AL249" i="94"/>
  <c r="AB92" i="94"/>
  <c r="AB7" i="94"/>
  <c r="AT249" i="94"/>
  <c r="F229" i="94"/>
  <c r="E110" i="94"/>
  <c r="J232" i="94"/>
  <c r="K232" i="94" s="1"/>
  <c r="L232" i="94" s="1"/>
  <c r="M232" i="94" s="1"/>
  <c r="N232" i="94" s="1"/>
  <c r="O232" i="94" s="1"/>
  <c r="P232" i="94" s="1"/>
  <c r="M92" i="94"/>
  <c r="M7" i="94"/>
  <c r="AE249" i="94"/>
  <c r="U7" i="94"/>
  <c r="AM249" i="94"/>
  <c r="U92" i="94"/>
  <c r="AH50" i="94"/>
  <c r="AI50" i="94"/>
  <c r="AI54" i="94"/>
  <c r="AH99" i="94"/>
  <c r="E230" i="94"/>
  <c r="F230" i="94" s="1"/>
  <c r="G230" i="94" s="1"/>
  <c r="H230" i="94" s="1"/>
  <c r="I230" i="94" s="1"/>
  <c r="J230" i="94" s="1"/>
  <c r="K230" i="94" s="1"/>
  <c r="L230" i="94" s="1"/>
  <c r="M230" i="94" s="1"/>
  <c r="N230" i="94" s="1"/>
  <c r="O230" i="94" s="1"/>
  <c r="P230" i="94" s="1"/>
  <c r="E234" i="94"/>
  <c r="AG2" i="94"/>
  <c r="AG6" i="94" s="1"/>
  <c r="D5" i="94"/>
  <c r="L5" i="94"/>
  <c r="T5" i="94"/>
  <c r="AB5" i="94"/>
  <c r="E5" i="94"/>
  <c r="M5" i="94"/>
  <c r="U5" i="94"/>
  <c r="AC5" i="94"/>
  <c r="AH84" i="94"/>
  <c r="AH68" i="94"/>
  <c r="AF89" i="93"/>
  <c r="AF91" i="93" s="1"/>
  <c r="AF92" i="93" s="1"/>
  <c r="AI113" i="93"/>
  <c r="AE89" i="93"/>
  <c r="AE91" i="93" s="1"/>
  <c r="AE92" i="93" s="1"/>
  <c r="AD89" i="93"/>
  <c r="AD91" i="93" s="1"/>
  <c r="AC100" i="93"/>
  <c r="AB5" i="93"/>
  <c r="AC89" i="93"/>
  <c r="AC91" i="93" s="1"/>
  <c r="AB89" i="93"/>
  <c r="AB91" i="93" s="1"/>
  <c r="Z5" i="93"/>
  <c r="AA89" i="93"/>
  <c r="AA91" i="93" s="1"/>
  <c r="Z100" i="93"/>
  <c r="Z89" i="93"/>
  <c r="Z91" i="93" s="1"/>
  <c r="X5" i="93"/>
  <c r="Y89" i="93"/>
  <c r="Y91" i="93" s="1"/>
  <c r="W89" i="93"/>
  <c r="W91" i="93" s="1"/>
  <c r="AH54" i="93"/>
  <c r="V89" i="93"/>
  <c r="V91" i="93" s="1"/>
  <c r="U89" i="93"/>
  <c r="U91" i="93" s="1"/>
  <c r="S5" i="93"/>
  <c r="T89" i="93"/>
  <c r="T91" i="93" s="1"/>
  <c r="R5" i="93"/>
  <c r="S89" i="93"/>
  <c r="S91" i="93" s="1"/>
  <c r="R100" i="93"/>
  <c r="R89" i="93"/>
  <c r="R91" i="93" s="1"/>
  <c r="P5" i="93"/>
  <c r="Q89" i="93"/>
  <c r="Q91" i="93" s="1"/>
  <c r="O5" i="93"/>
  <c r="P89" i="93"/>
  <c r="P91" i="93" s="1"/>
  <c r="O100" i="93"/>
  <c r="O89" i="93"/>
  <c r="O91" i="93" s="1"/>
  <c r="N89" i="93"/>
  <c r="N91" i="93" s="1"/>
  <c r="N7" i="93" s="1"/>
  <c r="L5" i="93"/>
  <c r="M89" i="93"/>
  <c r="M91" i="93" s="1"/>
  <c r="M92" i="93" s="1"/>
  <c r="L89" i="93"/>
  <c r="L91" i="93" s="1"/>
  <c r="L92" i="93" s="1"/>
  <c r="K100" i="93"/>
  <c r="AI100" i="93" s="1"/>
  <c r="J5" i="93"/>
  <c r="K89" i="93"/>
  <c r="K91" i="93" s="1"/>
  <c r="K92" i="93" s="1"/>
  <c r="J89" i="93"/>
  <c r="J91" i="93" s="1"/>
  <c r="J92" i="93" s="1"/>
  <c r="I89" i="93"/>
  <c r="I91" i="93" s="1"/>
  <c r="I92" i="93" s="1"/>
  <c r="H5" i="93"/>
  <c r="AI68" i="93"/>
  <c r="G89" i="93"/>
  <c r="G91" i="93" s="1"/>
  <c r="G92" i="93" s="1"/>
  <c r="F89" i="93"/>
  <c r="F91" i="93" s="1"/>
  <c r="F92" i="93" s="1"/>
  <c r="AI72" i="93"/>
  <c r="E100" i="93"/>
  <c r="E89" i="93"/>
  <c r="E91" i="93" s="1"/>
  <c r="E92" i="93" s="1"/>
  <c r="D89" i="93"/>
  <c r="D91" i="93" s="1"/>
  <c r="D92" i="93" s="1"/>
  <c r="C5" i="93"/>
  <c r="AI84" i="93"/>
  <c r="B5" i="93"/>
  <c r="C89" i="93"/>
  <c r="C91" i="93" s="1"/>
  <c r="C92" i="93" s="1"/>
  <c r="AI99" i="93"/>
  <c r="B89" i="93"/>
  <c r="B91" i="93" s="1"/>
  <c r="B92" i="93" s="1"/>
  <c r="D246" i="93"/>
  <c r="V7" i="93"/>
  <c r="AN249" i="93"/>
  <c r="V92" i="93"/>
  <c r="AD7" i="93"/>
  <c r="AV249" i="93"/>
  <c r="AD92" i="93"/>
  <c r="T92" i="93"/>
  <c r="T7" i="93"/>
  <c r="AL249" i="93"/>
  <c r="AB92" i="93"/>
  <c r="AB7" i="93"/>
  <c r="AT249" i="93"/>
  <c r="U7" i="93"/>
  <c r="AM249" i="93"/>
  <c r="U92" i="93"/>
  <c r="AC7" i="93"/>
  <c r="AU249" i="93"/>
  <c r="AC92" i="93"/>
  <c r="X92" i="93"/>
  <c r="AP249" i="93"/>
  <c r="X7" i="93"/>
  <c r="S92" i="93"/>
  <c r="S7" i="93"/>
  <c r="AK249" i="93"/>
  <c r="G229" i="93"/>
  <c r="J232" i="93"/>
  <c r="K232" i="93" s="1"/>
  <c r="L232" i="93" s="1"/>
  <c r="M232" i="93" s="1"/>
  <c r="N232" i="93" s="1"/>
  <c r="O232" i="93" s="1"/>
  <c r="P232" i="93" s="1"/>
  <c r="AO249" i="93"/>
  <c r="W7" i="93"/>
  <c r="W92" i="93"/>
  <c r="AH249" i="93"/>
  <c r="P92" i="93"/>
  <c r="P7" i="93"/>
  <c r="AF7" i="93"/>
  <c r="AX249" i="93"/>
  <c r="Q92" i="93"/>
  <c r="Q7" i="93"/>
  <c r="AI249" i="93"/>
  <c r="Y92" i="93"/>
  <c r="Y7" i="93"/>
  <c r="AQ249" i="93"/>
  <c r="AG89" i="93"/>
  <c r="AA92" i="93"/>
  <c r="AA7" i="93"/>
  <c r="AS249" i="93"/>
  <c r="AG249" i="93"/>
  <c r="O92" i="93"/>
  <c r="O7" i="93"/>
  <c r="AE7" i="93"/>
  <c r="AC249" i="93"/>
  <c r="H92" i="93"/>
  <c r="H7" i="93"/>
  <c r="Z249" i="93"/>
  <c r="R92" i="93"/>
  <c r="R7" i="93"/>
  <c r="AJ249" i="93"/>
  <c r="Z92" i="93"/>
  <c r="Z7" i="93"/>
  <c r="AR249" i="93"/>
  <c r="AI50" i="93"/>
  <c r="AI54" i="93"/>
  <c r="AH99" i="93"/>
  <c r="E230" i="93"/>
  <c r="E234" i="93"/>
  <c r="AG2" i="93"/>
  <c r="AG6" i="93" s="1"/>
  <c r="E5" i="93"/>
  <c r="M5" i="93"/>
  <c r="U5" i="93"/>
  <c r="AC5" i="93"/>
  <c r="AH72" i="93"/>
  <c r="AH84" i="93"/>
  <c r="AH68" i="93"/>
  <c r="AH50" i="93"/>
  <c r="AF89" i="92"/>
  <c r="AF91" i="92" s="1"/>
  <c r="AF92" i="92" s="1"/>
  <c r="AE100" i="92"/>
  <c r="AE89" i="92"/>
  <c r="AE91" i="92" s="1"/>
  <c r="AE92" i="92" s="1"/>
  <c r="AB100" i="92"/>
  <c r="AB89" i="92"/>
  <c r="AB91" i="92" s="1"/>
  <c r="AB92" i="92" s="1"/>
  <c r="AU249" i="94" l="1"/>
  <c r="AC92" i="94"/>
  <c r="X92" i="94"/>
  <c r="AG249" i="94"/>
  <c r="AK249" i="94"/>
  <c r="S7" i="94"/>
  <c r="O7" i="94"/>
  <c r="AD249" i="94"/>
  <c r="L7" i="94"/>
  <c r="AC249" i="94"/>
  <c r="K7" i="94"/>
  <c r="AB249" i="94"/>
  <c r="I7" i="94"/>
  <c r="AA249" i="94"/>
  <c r="Z249" i="94"/>
  <c r="H7" i="94"/>
  <c r="B244" i="94"/>
  <c r="G7" i="94"/>
  <c r="C244" i="94"/>
  <c r="Y249" i="94"/>
  <c r="G92" i="94"/>
  <c r="F92" i="94"/>
  <c r="X249" i="94"/>
  <c r="E92" i="94"/>
  <c r="W249" i="94"/>
  <c r="V249" i="94"/>
  <c r="D7" i="94"/>
  <c r="C7" i="94"/>
  <c r="U249" i="94"/>
  <c r="AH89" i="94"/>
  <c r="AI89" i="94"/>
  <c r="AI100" i="94"/>
  <c r="AH100" i="94"/>
  <c r="G229" i="94"/>
  <c r="E235" i="94"/>
  <c r="AI91" i="94"/>
  <c r="AH91" i="94"/>
  <c r="B7" i="94"/>
  <c r="T249" i="94"/>
  <c r="D270" i="94"/>
  <c r="F234" i="94"/>
  <c r="AW249" i="93"/>
  <c r="N92" i="93"/>
  <c r="AF249" i="93"/>
  <c r="AE249" i="93"/>
  <c r="M7" i="93"/>
  <c r="AD249" i="93"/>
  <c r="L7" i="93"/>
  <c r="K7" i="93"/>
  <c r="AH100" i="93"/>
  <c r="AB249" i="93"/>
  <c r="J7" i="93"/>
  <c r="AA249" i="93"/>
  <c r="I7" i="93"/>
  <c r="D7" i="93"/>
  <c r="C244" i="93"/>
  <c r="B244" i="93"/>
  <c r="G7" i="93"/>
  <c r="Y249" i="93"/>
  <c r="V249" i="93"/>
  <c r="W249" i="93"/>
  <c r="E7" i="93"/>
  <c r="U249" i="93"/>
  <c r="C7" i="93"/>
  <c r="AH89" i="93"/>
  <c r="F230" i="93"/>
  <c r="E235" i="93"/>
  <c r="F7" i="93"/>
  <c r="X249" i="93"/>
  <c r="H229" i="93"/>
  <c r="AI89" i="93"/>
  <c r="D270" i="93"/>
  <c r="F234" i="93"/>
  <c r="B7" i="93"/>
  <c r="AI91" i="93"/>
  <c r="AH91" i="93"/>
  <c r="T249" i="93"/>
  <c r="K6" i="94" l="1"/>
  <c r="A7" i="94"/>
  <c r="E270" i="94"/>
  <c r="G234" i="94"/>
  <c r="F235" i="94"/>
  <c r="F110" i="94"/>
  <c r="H229" i="94"/>
  <c r="G110" i="94"/>
  <c r="G235" i="94"/>
  <c r="AI92" i="94"/>
  <c r="AH92" i="94"/>
  <c r="K6" i="93"/>
  <c r="A7" i="93"/>
  <c r="E270" i="93"/>
  <c r="G234" i="93"/>
  <c r="AI92" i="93"/>
  <c r="AH92" i="93"/>
  <c r="I229" i="93"/>
  <c r="G230" i="93"/>
  <c r="F235" i="93"/>
  <c r="I229" i="94" l="1"/>
  <c r="F270" i="94"/>
  <c r="H234" i="94"/>
  <c r="J229" i="93"/>
  <c r="F270" i="93"/>
  <c r="H234" i="93"/>
  <c r="H230" i="93"/>
  <c r="G235" i="93"/>
  <c r="G270" i="94" l="1"/>
  <c r="I234" i="94"/>
  <c r="H235" i="94"/>
  <c r="H110" i="94"/>
  <c r="I110" i="94"/>
  <c r="J229" i="94"/>
  <c r="I230" i="93"/>
  <c r="H235" i="93"/>
  <c r="G270" i="93"/>
  <c r="I234" i="93"/>
  <c r="K229" i="93"/>
  <c r="K229" i="94" l="1"/>
  <c r="H270" i="94"/>
  <c r="J234" i="94"/>
  <c r="H270" i="93"/>
  <c r="J234" i="93"/>
  <c r="J230" i="93"/>
  <c r="L229" i="93"/>
  <c r="K234" i="94" l="1"/>
  <c r="I270" i="94"/>
  <c r="L229" i="94"/>
  <c r="J110" i="94"/>
  <c r="K230" i="93"/>
  <c r="K234" i="93"/>
  <c r="I270" i="93"/>
  <c r="M229" i="93"/>
  <c r="L234" i="94" l="1"/>
  <c r="J270" i="94"/>
  <c r="K110" i="94"/>
  <c r="L110" i="94"/>
  <c r="M229" i="94"/>
  <c r="L230" i="93"/>
  <c r="N229" i="93"/>
  <c r="J270" i="93"/>
  <c r="L234" i="93"/>
  <c r="K270" i="94" l="1"/>
  <c r="M234" i="94"/>
  <c r="N229" i="94"/>
  <c r="M110" i="94"/>
  <c r="K270" i="93"/>
  <c r="M234" i="93"/>
  <c r="O229" i="93"/>
  <c r="M230" i="93"/>
  <c r="O229" i="94" l="1"/>
  <c r="L270" i="94"/>
  <c r="N234" i="94"/>
  <c r="N230" i="93"/>
  <c r="P229" i="93"/>
  <c r="L270" i="93"/>
  <c r="N234" i="93"/>
  <c r="M110" i="93"/>
  <c r="M270" i="94" l="1"/>
  <c r="O234" i="94"/>
  <c r="P229" i="94"/>
  <c r="O110" i="94"/>
  <c r="N110" i="94"/>
  <c r="O230" i="93"/>
  <c r="M270" i="93"/>
  <c r="O234" i="93"/>
  <c r="N110" i="93"/>
  <c r="AI110" i="94" l="1"/>
  <c r="AH110" i="94"/>
  <c r="N270" i="94"/>
  <c r="P234" i="94"/>
  <c r="O270" i="94" s="1"/>
  <c r="N270" i="93"/>
  <c r="P234" i="93"/>
  <c r="O270" i="93" s="1"/>
  <c r="O110" i="93"/>
  <c r="P230" i="93"/>
  <c r="AH110" i="93" l="1"/>
  <c r="AI110" i="93"/>
  <c r="H49" i="92" l="1"/>
  <c r="G49" i="92"/>
  <c r="F49" i="92"/>
  <c r="E49" i="92"/>
  <c r="AF274" i="92"/>
  <c r="AE274" i="92"/>
  <c r="AD274" i="92"/>
  <c r="AC274" i="92"/>
  <c r="AB274" i="92"/>
  <c r="AA274" i="92"/>
  <c r="Z274" i="92"/>
  <c r="Y274" i="92"/>
  <c r="X274" i="92"/>
  <c r="W274" i="92"/>
  <c r="V274" i="92"/>
  <c r="U274" i="92"/>
  <c r="T274" i="92"/>
  <c r="S274" i="92"/>
  <c r="R274" i="92"/>
  <c r="Q274" i="92"/>
  <c r="P274" i="92"/>
  <c r="O274" i="92"/>
  <c r="N274" i="92"/>
  <c r="M274" i="92"/>
  <c r="L274" i="92"/>
  <c r="K274" i="92"/>
  <c r="J274" i="92"/>
  <c r="I274" i="92"/>
  <c r="H274" i="92"/>
  <c r="G274" i="92"/>
  <c r="F274" i="92"/>
  <c r="E274" i="92"/>
  <c r="D274" i="92"/>
  <c r="C274" i="92"/>
  <c r="B274" i="92"/>
  <c r="A274" i="92"/>
  <c r="AF273" i="92"/>
  <c r="AE273" i="92"/>
  <c r="AD273" i="92"/>
  <c r="AC273" i="92"/>
  <c r="AB273" i="92"/>
  <c r="AA273" i="92"/>
  <c r="Z273" i="92"/>
  <c r="Y273" i="92"/>
  <c r="X273" i="92"/>
  <c r="W273" i="92"/>
  <c r="V273" i="92"/>
  <c r="U273" i="92"/>
  <c r="T273" i="92"/>
  <c r="S273" i="92"/>
  <c r="R273" i="92"/>
  <c r="Q273" i="92"/>
  <c r="P273" i="92"/>
  <c r="O273" i="92"/>
  <c r="N273" i="92"/>
  <c r="M273" i="92"/>
  <c r="L273" i="92"/>
  <c r="K273" i="92"/>
  <c r="J273" i="92"/>
  <c r="I273" i="92"/>
  <c r="H273" i="92"/>
  <c r="G273" i="92"/>
  <c r="F273" i="92"/>
  <c r="E273" i="92"/>
  <c r="D273" i="92"/>
  <c r="C273" i="92"/>
  <c r="B273" i="92"/>
  <c r="A273" i="92"/>
  <c r="AF272" i="92"/>
  <c r="AE272" i="92"/>
  <c r="AD272" i="92"/>
  <c r="AC272" i="92"/>
  <c r="AB272" i="92"/>
  <c r="AA272" i="92"/>
  <c r="Z272" i="92"/>
  <c r="Y272" i="92"/>
  <c r="X272" i="92"/>
  <c r="W272" i="92"/>
  <c r="V272" i="92"/>
  <c r="U272" i="92"/>
  <c r="T272" i="92"/>
  <c r="S272" i="92"/>
  <c r="R272" i="92"/>
  <c r="Q272" i="92"/>
  <c r="P272" i="92"/>
  <c r="O272" i="92"/>
  <c r="N272" i="92"/>
  <c r="M272" i="92"/>
  <c r="L272" i="92"/>
  <c r="K272" i="92"/>
  <c r="J272" i="92"/>
  <c r="I272" i="92"/>
  <c r="H272" i="92"/>
  <c r="G272" i="92"/>
  <c r="F272" i="92"/>
  <c r="E272" i="92"/>
  <c r="D272" i="92"/>
  <c r="C272" i="92"/>
  <c r="B272" i="92"/>
  <c r="A272" i="92"/>
  <c r="AF271" i="92"/>
  <c r="AE271" i="92"/>
  <c r="AD271" i="92"/>
  <c r="AC271" i="92"/>
  <c r="AB271" i="92"/>
  <c r="AA271" i="92"/>
  <c r="Z271" i="92"/>
  <c r="Y271" i="92"/>
  <c r="X271" i="92"/>
  <c r="W271" i="92"/>
  <c r="V271" i="92"/>
  <c r="U271" i="92"/>
  <c r="T271" i="92"/>
  <c r="S271" i="92"/>
  <c r="R271" i="92"/>
  <c r="Q271" i="92"/>
  <c r="P271" i="92"/>
  <c r="O271" i="92"/>
  <c r="N271" i="92"/>
  <c r="M271" i="92"/>
  <c r="L271" i="92"/>
  <c r="K271" i="92"/>
  <c r="J271" i="92"/>
  <c r="I271" i="92"/>
  <c r="H271" i="92"/>
  <c r="G271" i="92"/>
  <c r="F271" i="92"/>
  <c r="E271" i="92"/>
  <c r="D271" i="92"/>
  <c r="C271" i="92"/>
  <c r="B271" i="92"/>
  <c r="A271" i="92"/>
  <c r="AE270" i="92"/>
  <c r="AD270" i="92"/>
  <c r="AC270" i="92"/>
  <c r="AB270" i="92"/>
  <c r="AA270" i="92"/>
  <c r="Z270" i="92"/>
  <c r="Y270" i="92"/>
  <c r="X270" i="92"/>
  <c r="W270" i="92"/>
  <c r="V270" i="92"/>
  <c r="U270" i="92"/>
  <c r="T270" i="92"/>
  <c r="S270" i="92"/>
  <c r="R270" i="92"/>
  <c r="Q270" i="92"/>
  <c r="P270" i="92"/>
  <c r="B270" i="92"/>
  <c r="S245" i="92"/>
  <c r="AG235" i="92"/>
  <c r="AF235" i="92"/>
  <c r="AE235" i="92"/>
  <c r="AD235" i="92"/>
  <c r="AC235" i="92"/>
  <c r="AB235" i="92"/>
  <c r="AA235" i="92"/>
  <c r="Z235" i="92"/>
  <c r="Y235" i="92"/>
  <c r="X235" i="92"/>
  <c r="W235" i="92"/>
  <c r="V235" i="92"/>
  <c r="U235" i="92"/>
  <c r="T235" i="92"/>
  <c r="S235" i="92"/>
  <c r="R235" i="92"/>
  <c r="Q235" i="92"/>
  <c r="C235" i="92"/>
  <c r="D234" i="92"/>
  <c r="E234" i="92" s="1"/>
  <c r="B234" i="92"/>
  <c r="AF270" i="92" s="1"/>
  <c r="E233" i="92"/>
  <c r="F233" i="92" s="1"/>
  <c r="G233" i="92" s="1"/>
  <c r="H233" i="92" s="1"/>
  <c r="I233" i="92" s="1"/>
  <c r="J233" i="92" s="1"/>
  <c r="K233" i="92" s="1"/>
  <c r="L233" i="92" s="1"/>
  <c r="M233" i="92" s="1"/>
  <c r="N233" i="92" s="1"/>
  <c r="O233" i="92" s="1"/>
  <c r="P233" i="92" s="1"/>
  <c r="D233" i="92"/>
  <c r="B233" i="92"/>
  <c r="D232" i="92"/>
  <c r="E232" i="92" s="1"/>
  <c r="F232" i="92" s="1"/>
  <c r="G232" i="92" s="1"/>
  <c r="H232" i="92" s="1"/>
  <c r="I232" i="92" s="1"/>
  <c r="B232" i="92"/>
  <c r="F231" i="92"/>
  <c r="G231" i="92" s="1"/>
  <c r="H231" i="92" s="1"/>
  <c r="E231" i="92"/>
  <c r="D231" i="92"/>
  <c r="B231" i="92"/>
  <c r="D230" i="92"/>
  <c r="D235" i="92" s="1"/>
  <c r="B230" i="92"/>
  <c r="E229" i="92"/>
  <c r="F229" i="92" s="1"/>
  <c r="D229" i="92"/>
  <c r="B229" i="92"/>
  <c r="B110" i="92" s="1"/>
  <c r="AG227" i="92"/>
  <c r="AF227" i="92"/>
  <c r="AE227" i="92"/>
  <c r="AD227" i="92"/>
  <c r="AC227" i="92"/>
  <c r="AB227" i="92"/>
  <c r="AA227" i="92"/>
  <c r="Z227" i="92"/>
  <c r="Y227" i="92"/>
  <c r="X227" i="92"/>
  <c r="W227" i="92"/>
  <c r="V227" i="92"/>
  <c r="U227" i="92"/>
  <c r="T227" i="92"/>
  <c r="S227" i="92"/>
  <c r="R227" i="92"/>
  <c r="Q227" i="92"/>
  <c r="P227" i="92"/>
  <c r="O227" i="92"/>
  <c r="N227" i="92"/>
  <c r="M227" i="92"/>
  <c r="L227" i="92"/>
  <c r="K227" i="92"/>
  <c r="J227" i="92"/>
  <c r="I227" i="92"/>
  <c r="H227" i="92"/>
  <c r="G227" i="92"/>
  <c r="F227" i="92"/>
  <c r="E227" i="92"/>
  <c r="D227" i="92"/>
  <c r="C227" i="92"/>
  <c r="B227" i="92"/>
  <c r="AI120" i="92"/>
  <c r="AH120" i="92"/>
  <c r="AI119" i="92"/>
  <c r="AH119" i="92"/>
  <c r="AI118" i="92"/>
  <c r="AH118" i="92"/>
  <c r="AI117" i="92"/>
  <c r="AH117" i="92"/>
  <c r="AI116" i="92"/>
  <c r="AH116" i="92"/>
  <c r="AI115" i="92"/>
  <c r="AH115" i="92"/>
  <c r="AI114" i="92"/>
  <c r="AH114" i="92"/>
  <c r="AI113" i="92"/>
  <c r="AH113" i="92"/>
  <c r="AI112" i="92"/>
  <c r="AH112" i="92"/>
  <c r="AI111" i="92"/>
  <c r="AH111" i="92"/>
  <c r="AC110" i="92"/>
  <c r="AA110" i="92"/>
  <c r="Z110" i="92"/>
  <c r="Y110" i="92"/>
  <c r="X110" i="92"/>
  <c r="W110" i="92"/>
  <c r="V110" i="92"/>
  <c r="U110" i="92"/>
  <c r="T110" i="92"/>
  <c r="S110" i="92"/>
  <c r="R110" i="92"/>
  <c r="Q110" i="92"/>
  <c r="D110" i="92"/>
  <c r="C110" i="92"/>
  <c r="AI109" i="92"/>
  <c r="AH109" i="92"/>
  <c r="AI108" i="92"/>
  <c r="AH108" i="92"/>
  <c r="AI107" i="92"/>
  <c r="AH107" i="92"/>
  <c r="AI106" i="92"/>
  <c r="AH106" i="92"/>
  <c r="AI105" i="92"/>
  <c r="AH105" i="92"/>
  <c r="AI104" i="92"/>
  <c r="AH104" i="92"/>
  <c r="AI103" i="92"/>
  <c r="AH103" i="92"/>
  <c r="AI102" i="92"/>
  <c r="AH102" i="92"/>
  <c r="AI101" i="92"/>
  <c r="AH101" i="92"/>
  <c r="AD99" i="92"/>
  <c r="AC99" i="92"/>
  <c r="AA99" i="92"/>
  <c r="Z99" i="92"/>
  <c r="Y99" i="92"/>
  <c r="X99" i="92"/>
  <c r="W99" i="92"/>
  <c r="V99" i="92"/>
  <c r="U99" i="92"/>
  <c r="T99" i="92"/>
  <c r="S99" i="92"/>
  <c r="R99" i="92"/>
  <c r="Q99" i="92"/>
  <c r="P99" i="92"/>
  <c r="O99" i="92"/>
  <c r="N99" i="92"/>
  <c r="M99" i="92"/>
  <c r="L99" i="92"/>
  <c r="K99" i="92"/>
  <c r="J99" i="92"/>
  <c r="I99" i="92"/>
  <c r="H99" i="92"/>
  <c r="G99" i="92"/>
  <c r="F99" i="92"/>
  <c r="E99" i="92"/>
  <c r="D99" i="92"/>
  <c r="C99" i="92"/>
  <c r="B99" i="92"/>
  <c r="AI98" i="92"/>
  <c r="AH98" i="92"/>
  <c r="AI97" i="92"/>
  <c r="AH97" i="92"/>
  <c r="AI96" i="92"/>
  <c r="AH96" i="92"/>
  <c r="AI95" i="92"/>
  <c r="AH95" i="92"/>
  <c r="AI94" i="92"/>
  <c r="AH94" i="92"/>
  <c r="AI93" i="92"/>
  <c r="AH93" i="92"/>
  <c r="AI90" i="92"/>
  <c r="AH90" i="92"/>
  <c r="AI88" i="92"/>
  <c r="AH88" i="92"/>
  <c r="AG88" i="92"/>
  <c r="AI87" i="92"/>
  <c r="AH87" i="92"/>
  <c r="AI86" i="92"/>
  <c r="AH86" i="92"/>
  <c r="AI85" i="92"/>
  <c r="AH85" i="92"/>
  <c r="AG84" i="92"/>
  <c r="AD5" i="92"/>
  <c r="AD84" i="92"/>
  <c r="AC84" i="92"/>
  <c r="AA84" i="92"/>
  <c r="AA100" i="92" s="1"/>
  <c r="Z84" i="92"/>
  <c r="Z100" i="92" s="1"/>
  <c r="Y84" i="92"/>
  <c r="Y100" i="92" s="1"/>
  <c r="X84" i="92"/>
  <c r="W84" i="92"/>
  <c r="V5" i="92" s="1"/>
  <c r="V84" i="92"/>
  <c r="V100" i="92" s="1"/>
  <c r="U84" i="92"/>
  <c r="T84" i="92"/>
  <c r="S84" i="92"/>
  <c r="S100" i="92" s="1"/>
  <c r="R84" i="92"/>
  <c r="R100" i="92" s="1"/>
  <c r="Q84" i="92"/>
  <c r="Q100" i="92" s="1"/>
  <c r="P84" i="92"/>
  <c r="O5" i="92" s="1"/>
  <c r="O84" i="92"/>
  <c r="N5" i="92" s="1"/>
  <c r="N84" i="92"/>
  <c r="N100" i="92" s="1"/>
  <c r="M84" i="92"/>
  <c r="M100" i="92" s="1"/>
  <c r="L84" i="92"/>
  <c r="L100" i="92" s="1"/>
  <c r="K84" i="92"/>
  <c r="K100" i="92" s="1"/>
  <c r="J84" i="92"/>
  <c r="J100" i="92" s="1"/>
  <c r="I84" i="92"/>
  <c r="I100" i="92" s="1"/>
  <c r="H84" i="92"/>
  <c r="G5" i="92" s="1"/>
  <c r="G84" i="92"/>
  <c r="F5" i="92" s="1"/>
  <c r="F84" i="92"/>
  <c r="F100" i="92" s="1"/>
  <c r="E84" i="92"/>
  <c r="E100" i="92" s="1"/>
  <c r="D84" i="92"/>
  <c r="D100" i="92" s="1"/>
  <c r="C84" i="92"/>
  <c r="B84" i="92"/>
  <c r="AI83" i="92"/>
  <c r="AH83" i="92"/>
  <c r="AI82" i="92"/>
  <c r="AH82" i="92"/>
  <c r="AI81" i="92"/>
  <c r="AH81" i="92"/>
  <c r="AI80" i="92"/>
  <c r="AH80" i="92"/>
  <c r="AI79" i="92"/>
  <c r="AH79" i="92"/>
  <c r="AI78" i="92"/>
  <c r="AH78" i="92"/>
  <c r="AI77" i="92"/>
  <c r="AH77" i="92"/>
  <c r="AI76" i="92"/>
  <c r="AH76" i="92"/>
  <c r="AI75" i="92"/>
  <c r="AH75" i="92"/>
  <c r="AI74" i="92"/>
  <c r="AH74" i="92"/>
  <c r="AI73" i="92"/>
  <c r="AH73" i="92"/>
  <c r="AG72" i="92"/>
  <c r="AD72" i="92"/>
  <c r="AC72" i="92"/>
  <c r="AA72" i="92"/>
  <c r="Z72" i="92"/>
  <c r="Y72" i="92"/>
  <c r="X72" i="92"/>
  <c r="W72" i="92"/>
  <c r="V72" i="92"/>
  <c r="U72" i="92"/>
  <c r="T72" i="92"/>
  <c r="S72" i="92"/>
  <c r="R72" i="92"/>
  <c r="Q72" i="92"/>
  <c r="P72" i="92"/>
  <c r="O72" i="92"/>
  <c r="N72" i="92"/>
  <c r="M72" i="92"/>
  <c r="L72" i="92"/>
  <c r="B72" i="92"/>
  <c r="AI71" i="92"/>
  <c r="AH71" i="92"/>
  <c r="AI70" i="92"/>
  <c r="AH70" i="92"/>
  <c r="AI69" i="92"/>
  <c r="AH69" i="92"/>
  <c r="AD68" i="92"/>
  <c r="AC68" i="92"/>
  <c r="AA68" i="92"/>
  <c r="Z68" i="92"/>
  <c r="Y68" i="92"/>
  <c r="X68" i="92"/>
  <c r="W68" i="92"/>
  <c r="V68" i="92"/>
  <c r="U68" i="92"/>
  <c r="T68" i="92"/>
  <c r="S68" i="92"/>
  <c r="R68" i="92"/>
  <c r="Q68" i="92"/>
  <c r="P68" i="92"/>
  <c r="O68" i="92"/>
  <c r="N68" i="92"/>
  <c r="M68" i="92"/>
  <c r="L68" i="92"/>
  <c r="K68" i="92"/>
  <c r="J68" i="92"/>
  <c r="I68" i="92"/>
  <c r="H68" i="92"/>
  <c r="G68" i="92"/>
  <c r="F68" i="92"/>
  <c r="E68" i="92"/>
  <c r="D68" i="92"/>
  <c r="C68" i="92"/>
  <c r="B68" i="92"/>
  <c r="AI67" i="92"/>
  <c r="AH67" i="92"/>
  <c r="AG67" i="92"/>
  <c r="AG68" i="92" s="1"/>
  <c r="AG3" i="92" s="1"/>
  <c r="AG6" i="92" s="1"/>
  <c r="AI66" i="92"/>
  <c r="AH66" i="92"/>
  <c r="AI65" i="92"/>
  <c r="AH65" i="92"/>
  <c r="AI64" i="92"/>
  <c r="AH64" i="92"/>
  <c r="AI63" i="92"/>
  <c r="AH63" i="92"/>
  <c r="AI62" i="92"/>
  <c r="AH62" i="92"/>
  <c r="AI61" i="92"/>
  <c r="AH61" i="92"/>
  <c r="AI60" i="92"/>
  <c r="AH60" i="92"/>
  <c r="AI59" i="92"/>
  <c r="AH59" i="92"/>
  <c r="AI58" i="92"/>
  <c r="AH58" i="92"/>
  <c r="AI57" i="92"/>
  <c r="AH57" i="92"/>
  <c r="AI56" i="92"/>
  <c r="AH56" i="92"/>
  <c r="AI55" i="92"/>
  <c r="AH55" i="92"/>
  <c r="AG54" i="92"/>
  <c r="AD54" i="92"/>
  <c r="AC54" i="92"/>
  <c r="AA54" i="92"/>
  <c r="Z54" i="92"/>
  <c r="Y54" i="92"/>
  <c r="X54" i="92"/>
  <c r="W54" i="92"/>
  <c r="V54" i="92"/>
  <c r="U54" i="92"/>
  <c r="T54" i="92"/>
  <c r="S54" i="92"/>
  <c r="R54" i="92"/>
  <c r="Q54" i="92"/>
  <c r="P54" i="92"/>
  <c r="O54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B54" i="92"/>
  <c r="AI53" i="92"/>
  <c r="AH53" i="92"/>
  <c r="AI52" i="92"/>
  <c r="AH52" i="92"/>
  <c r="AI51" i="92"/>
  <c r="AH51" i="92"/>
  <c r="AG50" i="92"/>
  <c r="AD50" i="92"/>
  <c r="AC50" i="92"/>
  <c r="AA50" i="92"/>
  <c r="Z50" i="92"/>
  <c r="Y50" i="92"/>
  <c r="X50" i="92"/>
  <c r="X89" i="92" s="1"/>
  <c r="X91" i="92" s="1"/>
  <c r="W50" i="92"/>
  <c r="V50" i="92"/>
  <c r="U50" i="92"/>
  <c r="T50" i="92"/>
  <c r="S50" i="92"/>
  <c r="R50" i="92"/>
  <c r="Q50" i="92"/>
  <c r="P50" i="92"/>
  <c r="O50" i="92"/>
  <c r="N50" i="92"/>
  <c r="M50" i="92"/>
  <c r="L50" i="92"/>
  <c r="K50" i="92"/>
  <c r="J50" i="92"/>
  <c r="I50" i="92"/>
  <c r="H50" i="92"/>
  <c r="G50" i="92"/>
  <c r="F50" i="92"/>
  <c r="E50" i="92"/>
  <c r="D50" i="92"/>
  <c r="C50" i="92"/>
  <c r="B50" i="92"/>
  <c r="AI48" i="92"/>
  <c r="AH48" i="92"/>
  <c r="AI47" i="92"/>
  <c r="AH47" i="92"/>
  <c r="AI46" i="92"/>
  <c r="AH46" i="92"/>
  <c r="AI45" i="92"/>
  <c r="AH45" i="92"/>
  <c r="AI44" i="92"/>
  <c r="AH44" i="92"/>
  <c r="AI43" i="92"/>
  <c r="AH43" i="92"/>
  <c r="AI42" i="92"/>
  <c r="AH42" i="92"/>
  <c r="AI41" i="92"/>
  <c r="AH41" i="92"/>
  <c r="AI40" i="92"/>
  <c r="AH40" i="92"/>
  <c r="AI39" i="92"/>
  <c r="AH39" i="92"/>
  <c r="AI38" i="92"/>
  <c r="AH38" i="92"/>
  <c r="AI37" i="92"/>
  <c r="AH37" i="92"/>
  <c r="AI36" i="92"/>
  <c r="AH36" i="92"/>
  <c r="AI35" i="92"/>
  <c r="AH35" i="92"/>
  <c r="AI34" i="92"/>
  <c r="AH34" i="92"/>
  <c r="AI33" i="92"/>
  <c r="AH33" i="92"/>
  <c r="AI32" i="92"/>
  <c r="AH32" i="92"/>
  <c r="AI31" i="92"/>
  <c r="AH31" i="92"/>
  <c r="AI30" i="92"/>
  <c r="AH30" i="92"/>
  <c r="AI29" i="92"/>
  <c r="AH29" i="92"/>
  <c r="AI28" i="92"/>
  <c r="AH28" i="92"/>
  <c r="AI27" i="92"/>
  <c r="AH27" i="92"/>
  <c r="AI26" i="92"/>
  <c r="AH26" i="92"/>
  <c r="AI25" i="92"/>
  <c r="AH25" i="92"/>
  <c r="AI24" i="92"/>
  <c r="AH24" i="92"/>
  <c r="AI23" i="92"/>
  <c r="AH23" i="92"/>
  <c r="AI22" i="92"/>
  <c r="AH22" i="92"/>
  <c r="AI21" i="92"/>
  <c r="AH21" i="92"/>
  <c r="AI20" i="92"/>
  <c r="AH20" i="92"/>
  <c r="AI19" i="92"/>
  <c r="AH19" i="92"/>
  <c r="AI18" i="92"/>
  <c r="AH18" i="92"/>
  <c r="AI17" i="92"/>
  <c r="AH17" i="92"/>
  <c r="AI16" i="92"/>
  <c r="AH16" i="92"/>
  <c r="AI15" i="92"/>
  <c r="AH15" i="92"/>
  <c r="AI14" i="92"/>
  <c r="AH14" i="92"/>
  <c r="AI13" i="92"/>
  <c r="AH13" i="92"/>
  <c r="AI12" i="92"/>
  <c r="AH12" i="92"/>
  <c r="AI11" i="92"/>
  <c r="AH11" i="92"/>
  <c r="AF5" i="92"/>
  <c r="AE5" i="92"/>
  <c r="AB5" i="92"/>
  <c r="AA5" i="92"/>
  <c r="X5" i="92"/>
  <c r="W5" i="92"/>
  <c r="S5" i="92"/>
  <c r="R5" i="92"/>
  <c r="J5" i="92"/>
  <c r="AG4" i="92"/>
  <c r="K4" i="92"/>
  <c r="E4" i="92"/>
  <c r="H4" i="92" s="1"/>
  <c r="B4" i="92"/>
  <c r="S246" i="92" s="1"/>
  <c r="AG2" i="92"/>
  <c r="AF49" i="91"/>
  <c r="AD110" i="91"/>
  <c r="AE49" i="91"/>
  <c r="AD49" i="91"/>
  <c r="AC49" i="91"/>
  <c r="AA50" i="91"/>
  <c r="AA54" i="91"/>
  <c r="AA68" i="91"/>
  <c r="AA72" i="91"/>
  <c r="AA84" i="91"/>
  <c r="AA100" i="91" s="1"/>
  <c r="AA99" i="91"/>
  <c r="AA110" i="91"/>
  <c r="Z50" i="91"/>
  <c r="Z54" i="91"/>
  <c r="Z68" i="91"/>
  <c r="Z72" i="91"/>
  <c r="Z84" i="91"/>
  <c r="Z100" i="91" s="1"/>
  <c r="Z99" i="91"/>
  <c r="Z110" i="91"/>
  <c r="Y110" i="91"/>
  <c r="Y99" i="91"/>
  <c r="Y84" i="91"/>
  <c r="Y100" i="91" s="1"/>
  <c r="Y72" i="91"/>
  <c r="Y68" i="91"/>
  <c r="Y54" i="91"/>
  <c r="Y50" i="91"/>
  <c r="Y89" i="91" s="1"/>
  <c r="Y91" i="91" s="1"/>
  <c r="Y92" i="91" s="1"/>
  <c r="X50" i="91"/>
  <c r="X54" i="91"/>
  <c r="X68" i="91"/>
  <c r="X72" i="91"/>
  <c r="X84" i="91"/>
  <c r="X100" i="91" s="1"/>
  <c r="X99" i="91"/>
  <c r="X110" i="91"/>
  <c r="W50" i="91"/>
  <c r="W54" i="91"/>
  <c r="W68" i="91"/>
  <c r="W72" i="91"/>
  <c r="W84" i="91"/>
  <c r="W100" i="91" s="1"/>
  <c r="W99" i="91"/>
  <c r="W110" i="91"/>
  <c r="V50" i="91"/>
  <c r="V54" i="91"/>
  <c r="V68" i="91"/>
  <c r="V72" i="91"/>
  <c r="V84" i="91"/>
  <c r="V100" i="91" s="1"/>
  <c r="V99" i="91"/>
  <c r="V110" i="91"/>
  <c r="AD100" i="92" l="1"/>
  <c r="AC100" i="92"/>
  <c r="AD89" i="92"/>
  <c r="AD91" i="92" s="1"/>
  <c r="AD7" i="92" s="1"/>
  <c r="AC89" i="92"/>
  <c r="AC91" i="92" s="1"/>
  <c r="AU249" i="92" s="1"/>
  <c r="Z5" i="92"/>
  <c r="AA89" i="92"/>
  <c r="AA91" i="92" s="1"/>
  <c r="AA92" i="92" s="1"/>
  <c r="Y5" i="92"/>
  <c r="Z89" i="92"/>
  <c r="Z91" i="92" s="1"/>
  <c r="Z92" i="92" s="1"/>
  <c r="Y89" i="92"/>
  <c r="Y91" i="92" s="1"/>
  <c r="Y92" i="92" s="1"/>
  <c r="X100" i="92"/>
  <c r="W100" i="92"/>
  <c r="W89" i="92"/>
  <c r="W91" i="92" s="1"/>
  <c r="W7" i="92" s="1"/>
  <c r="V89" i="92"/>
  <c r="V91" i="92" s="1"/>
  <c r="V7" i="92" s="1"/>
  <c r="U100" i="92"/>
  <c r="T5" i="92"/>
  <c r="U89" i="92"/>
  <c r="U91" i="92" s="1"/>
  <c r="AM249" i="92" s="1"/>
  <c r="T100" i="92"/>
  <c r="T89" i="92"/>
  <c r="T91" i="92" s="1"/>
  <c r="T7" i="92" s="1"/>
  <c r="S89" i="92"/>
  <c r="S91" i="92" s="1"/>
  <c r="S92" i="92" s="1"/>
  <c r="Q5" i="92"/>
  <c r="R89" i="92"/>
  <c r="R91" i="92" s="1"/>
  <c r="AJ249" i="92" s="1"/>
  <c r="P5" i="92"/>
  <c r="Q89" i="92"/>
  <c r="Q91" i="92" s="1"/>
  <c r="AI249" i="92" s="1"/>
  <c r="P100" i="92"/>
  <c r="P89" i="92"/>
  <c r="P91" i="92" s="1"/>
  <c r="P92" i="92" s="1"/>
  <c r="O100" i="92"/>
  <c r="O89" i="92"/>
  <c r="O91" i="92" s="1"/>
  <c r="AG249" i="92" s="1"/>
  <c r="N89" i="92"/>
  <c r="N91" i="92" s="1"/>
  <c r="N7" i="92" s="1"/>
  <c r="L5" i="92"/>
  <c r="M89" i="92"/>
  <c r="M91" i="92" s="1"/>
  <c r="AE249" i="92" s="1"/>
  <c r="L89" i="92"/>
  <c r="L91" i="92" s="1"/>
  <c r="L7" i="92" s="1"/>
  <c r="K5" i="92"/>
  <c r="AI72" i="92"/>
  <c r="K89" i="92"/>
  <c r="K91" i="92" s="1"/>
  <c r="AC249" i="92" s="1"/>
  <c r="J89" i="92"/>
  <c r="J91" i="92" s="1"/>
  <c r="J92" i="92" s="1"/>
  <c r="I5" i="92"/>
  <c r="H5" i="92"/>
  <c r="I89" i="92"/>
  <c r="I91" i="92" s="1"/>
  <c r="I7" i="92" s="1"/>
  <c r="H89" i="92"/>
  <c r="H91" i="92" s="1"/>
  <c r="H7" i="92" s="1"/>
  <c r="AI49" i="92"/>
  <c r="G89" i="92"/>
  <c r="G91" i="92" s="1"/>
  <c r="G100" i="92"/>
  <c r="AH49" i="92"/>
  <c r="F89" i="92"/>
  <c r="F91" i="92" s="1"/>
  <c r="F7" i="92" s="1"/>
  <c r="AI99" i="92"/>
  <c r="E89" i="92"/>
  <c r="E91" i="92" s="1"/>
  <c r="W249" i="92" s="1"/>
  <c r="D5" i="92"/>
  <c r="C5" i="92"/>
  <c r="D89" i="92"/>
  <c r="D91" i="92" s="1"/>
  <c r="D92" i="92" s="1"/>
  <c r="C100" i="92"/>
  <c r="C89" i="92"/>
  <c r="C91" i="92" s="1"/>
  <c r="C92" i="92" s="1"/>
  <c r="B5" i="92"/>
  <c r="AI84" i="92"/>
  <c r="AI68" i="92"/>
  <c r="AH54" i="92"/>
  <c r="B89" i="92"/>
  <c r="AH99" i="92"/>
  <c r="D246" i="92"/>
  <c r="AB7" i="92"/>
  <c r="AT249" i="92"/>
  <c r="E110" i="92"/>
  <c r="D270" i="92"/>
  <c r="F234" i="92"/>
  <c r="AO249" i="92"/>
  <c r="AW249" i="92"/>
  <c r="AE7" i="92"/>
  <c r="U7" i="92"/>
  <c r="X7" i="92"/>
  <c r="AP249" i="92"/>
  <c r="X92" i="92"/>
  <c r="AX249" i="92"/>
  <c r="AF7" i="92"/>
  <c r="G229" i="92"/>
  <c r="F110" i="92"/>
  <c r="J232" i="92"/>
  <c r="K232" i="92" s="1"/>
  <c r="L232" i="92" s="1"/>
  <c r="M232" i="92" s="1"/>
  <c r="N232" i="92" s="1"/>
  <c r="O232" i="92" s="1"/>
  <c r="P232" i="92" s="1"/>
  <c r="AS249" i="92"/>
  <c r="Q92" i="92"/>
  <c r="AQ249" i="92"/>
  <c r="AG89" i="92"/>
  <c r="L92" i="92"/>
  <c r="B91" i="92"/>
  <c r="Z7" i="92"/>
  <c r="AR249" i="92"/>
  <c r="AG91" i="92"/>
  <c r="AH50" i="92"/>
  <c r="C270" i="92"/>
  <c r="AI54" i="92"/>
  <c r="H100" i="92"/>
  <c r="B100" i="92"/>
  <c r="E5" i="92"/>
  <c r="M5" i="92"/>
  <c r="U5" i="92"/>
  <c r="AC5" i="92"/>
  <c r="AH72" i="92"/>
  <c r="AH84" i="92"/>
  <c r="AH68" i="92"/>
  <c r="B235" i="92"/>
  <c r="AI50" i="92"/>
  <c r="E230" i="92"/>
  <c r="AA89" i="91"/>
  <c r="AA91" i="91" s="1"/>
  <c r="AA92" i="91" s="1"/>
  <c r="Z89" i="91"/>
  <c r="Z91" i="91" s="1"/>
  <c r="Z92" i="91" s="1"/>
  <c r="X89" i="91"/>
  <c r="X91" i="91" s="1"/>
  <c r="X92" i="91" s="1"/>
  <c r="W89" i="91"/>
  <c r="W91" i="91" s="1"/>
  <c r="W92" i="91" s="1"/>
  <c r="V89" i="91"/>
  <c r="V91" i="91" s="1"/>
  <c r="V92" i="91" s="1"/>
  <c r="AC92" i="92" l="1"/>
  <c r="AC7" i="92"/>
  <c r="AD92" i="92"/>
  <c r="AV249" i="92"/>
  <c r="AA7" i="92"/>
  <c r="Y7" i="92"/>
  <c r="W92" i="92"/>
  <c r="AN249" i="92"/>
  <c r="V92" i="92"/>
  <c r="AL249" i="92"/>
  <c r="T92" i="92"/>
  <c r="U92" i="92"/>
  <c r="S7" i="92"/>
  <c r="AK249" i="92"/>
  <c r="R92" i="92"/>
  <c r="R7" i="92"/>
  <c r="Q7" i="92"/>
  <c r="N92" i="92"/>
  <c r="AF249" i="92"/>
  <c r="AH249" i="92"/>
  <c r="P7" i="92"/>
  <c r="O92" i="92"/>
  <c r="O7" i="92"/>
  <c r="M7" i="92"/>
  <c r="M92" i="92"/>
  <c r="AD249" i="92"/>
  <c r="K7" i="92"/>
  <c r="K92" i="92"/>
  <c r="AB249" i="92"/>
  <c r="J7" i="92"/>
  <c r="I92" i="92"/>
  <c r="AA249" i="92"/>
  <c r="U249" i="92"/>
  <c r="V249" i="92"/>
  <c r="Z249" i="92"/>
  <c r="H92" i="92"/>
  <c r="C244" i="92"/>
  <c r="G92" i="92"/>
  <c r="B244" i="92"/>
  <c r="G7" i="92"/>
  <c r="Y249" i="92"/>
  <c r="F92" i="92"/>
  <c r="X249" i="92"/>
  <c r="E92" i="92"/>
  <c r="E7" i="92"/>
  <c r="D7" i="92"/>
  <c r="C7" i="92"/>
  <c r="AH89" i="92"/>
  <c r="AI89" i="92"/>
  <c r="AI100" i="92"/>
  <c r="AH100" i="92"/>
  <c r="B92" i="92"/>
  <c r="AI91" i="92"/>
  <c r="AH91" i="92"/>
  <c r="B7" i="92"/>
  <c r="T249" i="92"/>
  <c r="H229" i="92"/>
  <c r="E235" i="92"/>
  <c r="F230" i="92"/>
  <c r="E270" i="92"/>
  <c r="G234" i="92"/>
  <c r="K6" i="92" l="1"/>
  <c r="A7" i="92"/>
  <c r="F270" i="92"/>
  <c r="H234" i="92"/>
  <c r="G230" i="92"/>
  <c r="F235" i="92"/>
  <c r="AI92" i="92"/>
  <c r="AH92" i="92"/>
  <c r="G110" i="92"/>
  <c r="I229" i="92"/>
  <c r="J229" i="92" l="1"/>
  <c r="H230" i="92"/>
  <c r="G235" i="92"/>
  <c r="G270" i="92"/>
  <c r="I234" i="92"/>
  <c r="H110" i="92"/>
  <c r="H270" i="92" l="1"/>
  <c r="J234" i="92"/>
  <c r="I230" i="92"/>
  <c r="H235" i="92"/>
  <c r="J110" i="92"/>
  <c r="K229" i="92"/>
  <c r="I110" i="92"/>
  <c r="K110" i="92" l="1"/>
  <c r="L229" i="92"/>
  <c r="J230" i="92"/>
  <c r="K234" i="92"/>
  <c r="I270" i="92"/>
  <c r="J270" i="92" l="1"/>
  <c r="L234" i="92"/>
  <c r="K230" i="92"/>
  <c r="M229" i="92"/>
  <c r="L110" i="92"/>
  <c r="M110" i="92" l="1"/>
  <c r="N229" i="92"/>
  <c r="L230" i="92"/>
  <c r="M234" i="92"/>
  <c r="K270" i="92"/>
  <c r="L270" i="92" l="1"/>
  <c r="N234" i="92"/>
  <c r="M230" i="92"/>
  <c r="O229" i="92"/>
  <c r="N110" i="92"/>
  <c r="N230" i="92" l="1"/>
  <c r="P229" i="92"/>
  <c r="O110" i="92"/>
  <c r="M270" i="92"/>
  <c r="O234" i="92"/>
  <c r="N270" i="92" l="1"/>
  <c r="P234" i="92"/>
  <c r="O270" i="92" s="1"/>
  <c r="AI110" i="92"/>
  <c r="AH110" i="92"/>
  <c r="O230" i="92"/>
  <c r="P230" i="92" l="1"/>
  <c r="G4" i="14" l="1"/>
  <c r="G5" i="14"/>
  <c r="G6" i="14"/>
  <c r="G7" i="14"/>
  <c r="G2" i="14"/>
  <c r="E8" i="14"/>
  <c r="E4" i="14"/>
  <c r="E5" i="14"/>
  <c r="E6" i="14"/>
  <c r="E7" i="14"/>
  <c r="E2" i="14"/>
  <c r="D4" i="14"/>
  <c r="D5" i="14"/>
  <c r="D6" i="14"/>
  <c r="D7" i="14"/>
  <c r="D2" i="14"/>
  <c r="C8" i="14"/>
  <c r="C4" i="14"/>
  <c r="C5" i="14"/>
  <c r="C6" i="14"/>
  <c r="C7" i="14"/>
  <c r="C2" i="14"/>
  <c r="D8" i="14"/>
  <c r="U50" i="91"/>
  <c r="U54" i="91"/>
  <c r="U68" i="91"/>
  <c r="U72" i="91"/>
  <c r="U84" i="91"/>
  <c r="U100" i="91" s="1"/>
  <c r="U99" i="91"/>
  <c r="U110" i="91"/>
  <c r="T49" i="91"/>
  <c r="T50" i="91"/>
  <c r="T54" i="91"/>
  <c r="T68" i="91"/>
  <c r="T72" i="91"/>
  <c r="T84" i="91"/>
  <c r="T100" i="91" s="1"/>
  <c r="T99" i="91"/>
  <c r="T110" i="91"/>
  <c r="S49" i="91"/>
  <c r="S50" i="91"/>
  <c r="S54" i="91"/>
  <c r="S68" i="91"/>
  <c r="S72" i="91"/>
  <c r="S84" i="91"/>
  <c r="S100" i="91" s="1"/>
  <c r="S99" i="91"/>
  <c r="S110" i="91"/>
  <c r="R113" i="91"/>
  <c r="R49" i="91"/>
  <c r="Q113" i="91"/>
  <c r="Q49" i="91"/>
  <c r="P113" i="91"/>
  <c r="P49" i="91"/>
  <c r="O113" i="91"/>
  <c r="O49" i="91"/>
  <c r="N113" i="91"/>
  <c r="N49" i="91"/>
  <c r="M113" i="91"/>
  <c r="M49" i="91"/>
  <c r="AF274" i="91"/>
  <c r="AE274" i="91"/>
  <c r="AD274" i="91"/>
  <c r="AC274" i="91"/>
  <c r="AB274" i="91"/>
  <c r="AA274" i="91"/>
  <c r="Z274" i="91"/>
  <c r="Y274" i="91"/>
  <c r="X274" i="91"/>
  <c r="W274" i="91"/>
  <c r="V274" i="91"/>
  <c r="U274" i="91"/>
  <c r="T274" i="91"/>
  <c r="S274" i="91"/>
  <c r="R274" i="91"/>
  <c r="Q274" i="91"/>
  <c r="P274" i="91"/>
  <c r="O274" i="91"/>
  <c r="N274" i="91"/>
  <c r="M274" i="91"/>
  <c r="L274" i="91"/>
  <c r="K274" i="91"/>
  <c r="J274" i="91"/>
  <c r="I274" i="91"/>
  <c r="H274" i="91"/>
  <c r="G274" i="91"/>
  <c r="F274" i="91"/>
  <c r="E274" i="91"/>
  <c r="D274" i="91"/>
  <c r="C274" i="91"/>
  <c r="B274" i="91"/>
  <c r="A274" i="91"/>
  <c r="AF273" i="91"/>
  <c r="AE273" i="91"/>
  <c r="AD273" i="91"/>
  <c r="AC273" i="91"/>
  <c r="AB273" i="91"/>
  <c r="AA273" i="91"/>
  <c r="Z273" i="91"/>
  <c r="Y273" i="91"/>
  <c r="X273" i="91"/>
  <c r="W273" i="91"/>
  <c r="V273" i="91"/>
  <c r="U273" i="91"/>
  <c r="T273" i="91"/>
  <c r="S273" i="91"/>
  <c r="R273" i="91"/>
  <c r="Q273" i="91"/>
  <c r="P273" i="91"/>
  <c r="O273" i="91"/>
  <c r="N273" i="91"/>
  <c r="M273" i="91"/>
  <c r="L273" i="91"/>
  <c r="K273" i="91"/>
  <c r="J273" i="91"/>
  <c r="I273" i="91"/>
  <c r="H273" i="91"/>
  <c r="G273" i="91"/>
  <c r="F273" i="91"/>
  <c r="E273" i="91"/>
  <c r="D273" i="91"/>
  <c r="C273" i="91"/>
  <c r="B273" i="91"/>
  <c r="A273" i="91"/>
  <c r="AF272" i="91"/>
  <c r="AE272" i="91"/>
  <c r="AD272" i="91"/>
  <c r="AC272" i="91"/>
  <c r="AB272" i="91"/>
  <c r="AA272" i="91"/>
  <c r="Z272" i="91"/>
  <c r="Y272" i="91"/>
  <c r="X272" i="91"/>
  <c r="W272" i="91"/>
  <c r="V272" i="91"/>
  <c r="U272" i="91"/>
  <c r="T272" i="91"/>
  <c r="S272" i="91"/>
  <c r="R272" i="91"/>
  <c r="Q272" i="91"/>
  <c r="P272" i="91"/>
  <c r="O272" i="91"/>
  <c r="N272" i="91"/>
  <c r="M272" i="91"/>
  <c r="L272" i="91"/>
  <c r="K272" i="91"/>
  <c r="J272" i="91"/>
  <c r="I272" i="91"/>
  <c r="H272" i="91"/>
  <c r="G272" i="91"/>
  <c r="F272" i="91"/>
  <c r="E272" i="91"/>
  <c r="D272" i="91"/>
  <c r="C272" i="91"/>
  <c r="B272" i="91"/>
  <c r="A272" i="91"/>
  <c r="AF271" i="91"/>
  <c r="AE271" i="91"/>
  <c r="AD271" i="91"/>
  <c r="AC271" i="91"/>
  <c r="AB271" i="91"/>
  <c r="AA271" i="91"/>
  <c r="Z271" i="91"/>
  <c r="Y271" i="91"/>
  <c r="X271" i="91"/>
  <c r="W271" i="91"/>
  <c r="V271" i="91"/>
  <c r="U271" i="91"/>
  <c r="T271" i="91"/>
  <c r="S271" i="91"/>
  <c r="R271" i="91"/>
  <c r="Q271" i="91"/>
  <c r="P271" i="91"/>
  <c r="O271" i="91"/>
  <c r="N271" i="91"/>
  <c r="M271" i="91"/>
  <c r="L271" i="91"/>
  <c r="K271" i="91"/>
  <c r="J271" i="91"/>
  <c r="I271" i="91"/>
  <c r="H271" i="91"/>
  <c r="G271" i="91"/>
  <c r="F271" i="91"/>
  <c r="E271" i="91"/>
  <c r="D271" i="91"/>
  <c r="C271" i="91"/>
  <c r="B271" i="91"/>
  <c r="A271" i="91"/>
  <c r="AE270" i="91"/>
  <c r="AD270" i="91"/>
  <c r="AC270" i="91"/>
  <c r="AB270" i="91"/>
  <c r="AA270" i="91"/>
  <c r="Z270" i="91"/>
  <c r="Y270" i="91"/>
  <c r="X270" i="91"/>
  <c r="W270" i="91"/>
  <c r="V270" i="91"/>
  <c r="U270" i="91"/>
  <c r="T270" i="91"/>
  <c r="S270" i="91"/>
  <c r="R270" i="91"/>
  <c r="Q270" i="91"/>
  <c r="P270" i="91"/>
  <c r="B270" i="91"/>
  <c r="S245" i="91"/>
  <c r="AG235" i="91"/>
  <c r="AF235" i="91"/>
  <c r="AE235" i="91"/>
  <c r="AD235" i="91"/>
  <c r="AC235" i="91"/>
  <c r="AB235" i="91"/>
  <c r="AA235" i="91"/>
  <c r="Z235" i="91"/>
  <c r="Y235" i="91"/>
  <c r="X235" i="91"/>
  <c r="W235" i="91"/>
  <c r="V235" i="91"/>
  <c r="U235" i="91"/>
  <c r="T235" i="91"/>
  <c r="S235" i="91"/>
  <c r="R235" i="91"/>
  <c r="Q235" i="91"/>
  <c r="C235" i="91"/>
  <c r="D234" i="91"/>
  <c r="C270" i="91" s="1"/>
  <c r="B234" i="91"/>
  <c r="AF270" i="91" s="1"/>
  <c r="G233" i="91"/>
  <c r="H233" i="91" s="1"/>
  <c r="I233" i="91" s="1"/>
  <c r="J233" i="91" s="1"/>
  <c r="K233" i="91" s="1"/>
  <c r="L233" i="91" s="1"/>
  <c r="M233" i="91" s="1"/>
  <c r="N233" i="91" s="1"/>
  <c r="O233" i="91" s="1"/>
  <c r="P233" i="91" s="1"/>
  <c r="F233" i="91"/>
  <c r="E233" i="91"/>
  <c r="D233" i="91"/>
  <c r="B233" i="91"/>
  <c r="E232" i="91"/>
  <c r="F232" i="91" s="1"/>
  <c r="G232" i="91" s="1"/>
  <c r="H232" i="91" s="1"/>
  <c r="I232" i="91" s="1"/>
  <c r="D232" i="91"/>
  <c r="B232" i="91"/>
  <c r="F231" i="91"/>
  <c r="G231" i="91" s="1"/>
  <c r="H231" i="91" s="1"/>
  <c r="E231" i="91"/>
  <c r="D231" i="91"/>
  <c r="B231" i="91"/>
  <c r="D230" i="91"/>
  <c r="D235" i="91" s="1"/>
  <c r="B230" i="91"/>
  <c r="E229" i="91"/>
  <c r="F229" i="91" s="1"/>
  <c r="D229" i="91"/>
  <c r="B229" i="91"/>
  <c r="B110" i="91" s="1"/>
  <c r="AG227" i="91"/>
  <c r="AF227" i="91"/>
  <c r="AE227" i="91"/>
  <c r="AD227" i="91"/>
  <c r="AC227" i="91"/>
  <c r="AB227" i="91"/>
  <c r="AA227" i="91"/>
  <c r="Z227" i="91"/>
  <c r="Y227" i="91"/>
  <c r="X227" i="91"/>
  <c r="W227" i="91"/>
  <c r="V227" i="91"/>
  <c r="U227" i="91"/>
  <c r="T227" i="91"/>
  <c r="S227" i="91"/>
  <c r="R227" i="91"/>
  <c r="Q227" i="91"/>
  <c r="P227" i="91"/>
  <c r="O227" i="91"/>
  <c r="N227" i="91"/>
  <c r="M227" i="91"/>
  <c r="L227" i="91"/>
  <c r="K227" i="91"/>
  <c r="J227" i="91"/>
  <c r="I227" i="91"/>
  <c r="H227" i="91"/>
  <c r="G227" i="91"/>
  <c r="F227" i="91"/>
  <c r="E227" i="91"/>
  <c r="D227" i="91"/>
  <c r="C227" i="91"/>
  <c r="B227" i="91"/>
  <c r="AI120" i="91"/>
  <c r="AH120" i="91"/>
  <c r="AI119" i="91"/>
  <c r="AH119" i="91"/>
  <c r="AI118" i="91"/>
  <c r="AH118" i="91"/>
  <c r="AI117" i="91"/>
  <c r="AH117" i="91"/>
  <c r="AI116" i="91"/>
  <c r="AH116" i="91"/>
  <c r="AI115" i="91"/>
  <c r="AH115" i="91"/>
  <c r="AI114" i="91"/>
  <c r="AH114" i="91"/>
  <c r="AH113" i="91"/>
  <c r="AI112" i="91"/>
  <c r="AH112" i="91"/>
  <c r="AI111" i="91"/>
  <c r="AH111" i="91"/>
  <c r="AF110" i="91"/>
  <c r="AE110" i="91"/>
  <c r="AC110" i="91"/>
  <c r="AB110" i="91"/>
  <c r="R110" i="91"/>
  <c r="Q110" i="91"/>
  <c r="D110" i="91"/>
  <c r="C110" i="91"/>
  <c r="AI109" i="91"/>
  <c r="AH109" i="91"/>
  <c r="AI108" i="91"/>
  <c r="AH108" i="91"/>
  <c r="AI107" i="91"/>
  <c r="AH107" i="91"/>
  <c r="AI106" i="91"/>
  <c r="AH106" i="91"/>
  <c r="AI105" i="91"/>
  <c r="AH105" i="91"/>
  <c r="AI104" i="91"/>
  <c r="AH104" i="91"/>
  <c r="AI103" i="91"/>
  <c r="AH103" i="91"/>
  <c r="AI102" i="91"/>
  <c r="AH102" i="91"/>
  <c r="AI101" i="91"/>
  <c r="AH101" i="91"/>
  <c r="AF99" i="91"/>
  <c r="AE99" i="91"/>
  <c r="AD99" i="91"/>
  <c r="AC99" i="91"/>
  <c r="AB99" i="91"/>
  <c r="R99" i="91"/>
  <c r="Q99" i="91"/>
  <c r="P99" i="91"/>
  <c r="O99" i="91"/>
  <c r="N99" i="91"/>
  <c r="M99" i="91"/>
  <c r="L99" i="91"/>
  <c r="K99" i="91"/>
  <c r="J99" i="91"/>
  <c r="I99" i="91"/>
  <c r="H99" i="91"/>
  <c r="G99" i="91"/>
  <c r="F99" i="91"/>
  <c r="E99" i="91"/>
  <c r="D99" i="91"/>
  <c r="C99" i="91"/>
  <c r="B99" i="91"/>
  <c r="AI98" i="91"/>
  <c r="AH98" i="91"/>
  <c r="AI97" i="91"/>
  <c r="AH97" i="91"/>
  <c r="AI96" i="91"/>
  <c r="AH96" i="91"/>
  <c r="AI95" i="91"/>
  <c r="AH95" i="91"/>
  <c r="AI94" i="91"/>
  <c r="AH94" i="91"/>
  <c r="AI93" i="91"/>
  <c r="AH93" i="91"/>
  <c r="AI90" i="91"/>
  <c r="AH90" i="91"/>
  <c r="AI88" i="91"/>
  <c r="AH88" i="91"/>
  <c r="AG88" i="91"/>
  <c r="AG91" i="91" s="1"/>
  <c r="AI87" i="91"/>
  <c r="AH87" i="91"/>
  <c r="AI86" i="91"/>
  <c r="AH86" i="91"/>
  <c r="AI85" i="91"/>
  <c r="AH85" i="91"/>
  <c r="AG84" i="91"/>
  <c r="AF84" i="91"/>
  <c r="AE5" i="91" s="1"/>
  <c r="AE84" i="91"/>
  <c r="AD5" i="91" s="1"/>
  <c r="AD84" i="91"/>
  <c r="AD100" i="91" s="1"/>
  <c r="AC84" i="91"/>
  <c r="AB84" i="91"/>
  <c r="V5" i="91"/>
  <c r="R84" i="91"/>
  <c r="Q84" i="91"/>
  <c r="Q100" i="91" s="1"/>
  <c r="P84" i="91"/>
  <c r="O5" i="91" s="1"/>
  <c r="O84" i="91"/>
  <c r="N5" i="91" s="1"/>
  <c r="N84" i="91"/>
  <c r="N100" i="91" s="1"/>
  <c r="M84" i="91"/>
  <c r="M100" i="91" s="1"/>
  <c r="L84" i="91"/>
  <c r="L100" i="91" s="1"/>
  <c r="K84" i="91"/>
  <c r="K100" i="91" s="1"/>
  <c r="J84" i="91"/>
  <c r="J100" i="91" s="1"/>
  <c r="I84" i="91"/>
  <c r="I100" i="91" s="1"/>
  <c r="H84" i="91"/>
  <c r="G5" i="91" s="1"/>
  <c r="G84" i="91"/>
  <c r="F5" i="91" s="1"/>
  <c r="F84" i="91"/>
  <c r="F100" i="91" s="1"/>
  <c r="E84" i="91"/>
  <c r="D84" i="91"/>
  <c r="D100" i="91" s="1"/>
  <c r="C84" i="91"/>
  <c r="C100" i="91" s="1"/>
  <c r="B84" i="91"/>
  <c r="AI83" i="91"/>
  <c r="AH83" i="91"/>
  <c r="AI82" i="91"/>
  <c r="AH82" i="91"/>
  <c r="AI81" i="91"/>
  <c r="AH81" i="91"/>
  <c r="AI80" i="91"/>
  <c r="AH80" i="91"/>
  <c r="AI79" i="91"/>
  <c r="AH79" i="91"/>
  <c r="AI78" i="91"/>
  <c r="AH78" i="91"/>
  <c r="AI77" i="91"/>
  <c r="AH77" i="91"/>
  <c r="AI76" i="91"/>
  <c r="AH76" i="91"/>
  <c r="AI75" i="91"/>
  <c r="AH75" i="91"/>
  <c r="AI74" i="91"/>
  <c r="AH74" i="91"/>
  <c r="AI73" i="91"/>
  <c r="AH73" i="91"/>
  <c r="AG72" i="91"/>
  <c r="AF72" i="91"/>
  <c r="AE72" i="91"/>
  <c r="AD72" i="91"/>
  <c r="AC72" i="91"/>
  <c r="AB72" i="91"/>
  <c r="R72" i="91"/>
  <c r="Q72" i="91"/>
  <c r="P72" i="91"/>
  <c r="O72" i="91"/>
  <c r="N72" i="91"/>
  <c r="M72" i="91"/>
  <c r="L72" i="91"/>
  <c r="B72" i="91"/>
  <c r="AI71" i="91"/>
  <c r="AH71" i="91"/>
  <c r="AI70" i="91"/>
  <c r="AH70" i="91"/>
  <c r="AI69" i="91"/>
  <c r="AH69" i="91"/>
  <c r="AG68" i="91"/>
  <c r="AF68" i="91"/>
  <c r="AE68" i="91"/>
  <c r="AD68" i="91"/>
  <c r="AC68" i="91"/>
  <c r="AB68" i="91"/>
  <c r="R68" i="91"/>
  <c r="Q68" i="91"/>
  <c r="P68" i="91"/>
  <c r="O68" i="91"/>
  <c r="N68" i="91"/>
  <c r="M68" i="91"/>
  <c r="L68" i="91"/>
  <c r="K68" i="91"/>
  <c r="J68" i="91"/>
  <c r="I68" i="91"/>
  <c r="H68" i="91"/>
  <c r="G68" i="91"/>
  <c r="F68" i="91"/>
  <c r="E68" i="91"/>
  <c r="D68" i="91"/>
  <c r="C68" i="91"/>
  <c r="B68" i="91"/>
  <c r="AI67" i="91"/>
  <c r="AH67" i="91"/>
  <c r="AG67" i="91"/>
  <c r="AI66" i="91"/>
  <c r="AH66" i="91"/>
  <c r="AI65" i="91"/>
  <c r="AH65" i="91"/>
  <c r="AI64" i="91"/>
  <c r="AH64" i="91"/>
  <c r="AI63" i="91"/>
  <c r="AH63" i="91"/>
  <c r="AI62" i="91"/>
  <c r="AH62" i="91"/>
  <c r="AI61" i="91"/>
  <c r="AH61" i="91"/>
  <c r="AI60" i="91"/>
  <c r="AH60" i="91"/>
  <c r="AI59" i="91"/>
  <c r="AH59" i="91"/>
  <c r="AI58" i="91"/>
  <c r="AH58" i="91"/>
  <c r="AI57" i="91"/>
  <c r="AH57" i="91"/>
  <c r="AI56" i="91"/>
  <c r="AH56" i="91"/>
  <c r="AI55" i="91"/>
  <c r="AH55" i="91"/>
  <c r="AG54" i="91"/>
  <c r="AF54" i="91"/>
  <c r="AE54" i="91"/>
  <c r="AD54" i="91"/>
  <c r="AC54" i="91"/>
  <c r="AB54" i="91"/>
  <c r="R54" i="91"/>
  <c r="Q54" i="91"/>
  <c r="P54" i="91"/>
  <c r="O54" i="91"/>
  <c r="N54" i="91"/>
  <c r="M54" i="91"/>
  <c r="L54" i="91"/>
  <c r="K54" i="91"/>
  <c r="J54" i="91"/>
  <c r="I54" i="91"/>
  <c r="H54" i="91"/>
  <c r="G54" i="91"/>
  <c r="F54" i="91"/>
  <c r="E54" i="91"/>
  <c r="D54" i="91"/>
  <c r="C54" i="91"/>
  <c r="B54" i="91"/>
  <c r="AI53" i="91"/>
  <c r="AH53" i="91"/>
  <c r="AI52" i="91"/>
  <c r="AH52" i="91"/>
  <c r="AI51" i="91"/>
  <c r="AH51" i="91"/>
  <c r="AG50" i="91"/>
  <c r="AG89" i="91" s="1"/>
  <c r="AF50" i="91"/>
  <c r="AE50" i="91"/>
  <c r="AD50" i="91"/>
  <c r="AC50" i="91"/>
  <c r="AB50" i="91"/>
  <c r="R50" i="91"/>
  <c r="Q50" i="91"/>
  <c r="P50" i="91"/>
  <c r="O50" i="91"/>
  <c r="N50" i="91"/>
  <c r="M50" i="91"/>
  <c r="L50" i="91"/>
  <c r="K50" i="91"/>
  <c r="J50" i="91"/>
  <c r="I50" i="91"/>
  <c r="H50" i="91"/>
  <c r="G50" i="91"/>
  <c r="F50" i="91"/>
  <c r="E50" i="91"/>
  <c r="D50" i="91"/>
  <c r="C50" i="91"/>
  <c r="B50" i="91"/>
  <c r="AI49" i="91"/>
  <c r="AH49" i="91"/>
  <c r="AI48" i="91"/>
  <c r="AH48" i="91"/>
  <c r="AI47" i="91"/>
  <c r="AH47" i="91"/>
  <c r="AI46" i="91"/>
  <c r="AH46" i="91"/>
  <c r="AI45" i="91"/>
  <c r="AH45" i="91"/>
  <c r="AI44" i="91"/>
  <c r="AH44" i="91"/>
  <c r="AI43" i="91"/>
  <c r="AH43" i="91"/>
  <c r="AI42" i="91"/>
  <c r="AH42" i="91"/>
  <c r="AI41" i="91"/>
  <c r="AH41" i="91"/>
  <c r="AI40" i="91"/>
  <c r="AH40" i="91"/>
  <c r="AI39" i="91"/>
  <c r="AH39" i="91"/>
  <c r="AI38" i="91"/>
  <c r="AH38" i="91"/>
  <c r="AI37" i="91"/>
  <c r="AH37" i="91"/>
  <c r="AI36" i="91"/>
  <c r="AH36" i="91"/>
  <c r="AI35" i="91"/>
  <c r="AH35" i="91"/>
  <c r="AI34" i="91"/>
  <c r="AH34" i="91"/>
  <c r="AI33" i="91"/>
  <c r="AH33" i="91"/>
  <c r="AI32" i="91"/>
  <c r="AH32" i="91"/>
  <c r="AI31" i="91"/>
  <c r="AH31" i="91"/>
  <c r="AI30" i="91"/>
  <c r="AH30" i="91"/>
  <c r="AI29" i="91"/>
  <c r="AH29" i="91"/>
  <c r="AI28" i="91"/>
  <c r="AH28" i="91"/>
  <c r="AI27" i="91"/>
  <c r="AH27" i="91"/>
  <c r="AI26" i="91"/>
  <c r="AH26" i="91"/>
  <c r="AI25" i="91"/>
  <c r="AH25" i="91"/>
  <c r="AI24" i="91"/>
  <c r="AH24" i="91"/>
  <c r="AI23" i="91"/>
  <c r="AH23" i="91"/>
  <c r="AI22" i="91"/>
  <c r="AH22" i="91"/>
  <c r="AI21" i="91"/>
  <c r="AH21" i="91"/>
  <c r="AI20" i="91"/>
  <c r="AH20" i="91"/>
  <c r="AI19" i="91"/>
  <c r="AH19" i="91"/>
  <c r="AI18" i="91"/>
  <c r="AH18" i="91"/>
  <c r="AI17" i="91"/>
  <c r="AH17" i="91"/>
  <c r="AI16" i="91"/>
  <c r="AH16" i="91"/>
  <c r="AI15" i="91"/>
  <c r="AH15" i="91"/>
  <c r="AI14" i="91"/>
  <c r="AH14" i="91"/>
  <c r="AI13" i="91"/>
  <c r="AH13" i="91"/>
  <c r="AI12" i="91"/>
  <c r="AH12" i="91"/>
  <c r="AI11" i="91"/>
  <c r="AH11" i="91"/>
  <c r="AA5" i="91"/>
  <c r="Z5" i="91"/>
  <c r="Y5" i="91"/>
  <c r="X5" i="91"/>
  <c r="W5" i="91"/>
  <c r="R5" i="91"/>
  <c r="Q5" i="91"/>
  <c r="D5" i="91"/>
  <c r="AG4" i="91"/>
  <c r="K4" i="91"/>
  <c r="E4" i="91"/>
  <c r="H4" i="91" s="1"/>
  <c r="B4" i="91"/>
  <c r="S246" i="91" s="1"/>
  <c r="AG3" i="91"/>
  <c r="AF49" i="90"/>
  <c r="AE49" i="90"/>
  <c r="AD110" i="90"/>
  <c r="AE110" i="90"/>
  <c r="AF110" i="90"/>
  <c r="AD49" i="90"/>
  <c r="AC49" i="90"/>
  <c r="AB49" i="90"/>
  <c r="AA49" i="90"/>
  <c r="AA50" i="90"/>
  <c r="AA54" i="90"/>
  <c r="AA68" i="90"/>
  <c r="AA72" i="90"/>
  <c r="AA84" i="90"/>
  <c r="AA100" i="90" s="1"/>
  <c r="AA99" i="90"/>
  <c r="AA110" i="90"/>
  <c r="Z49" i="90"/>
  <c r="Z50" i="90"/>
  <c r="Z54" i="90"/>
  <c r="Z68" i="90"/>
  <c r="Z72" i="90"/>
  <c r="Z84" i="90"/>
  <c r="Z100" i="90" s="1"/>
  <c r="Z99" i="90"/>
  <c r="Z110" i="90"/>
  <c r="Y110" i="90"/>
  <c r="Y99" i="90"/>
  <c r="Y84" i="90"/>
  <c r="Y100" i="90" s="1"/>
  <c r="Y72" i="90"/>
  <c r="Y68" i="90"/>
  <c r="Y54" i="90"/>
  <c r="Y50" i="90"/>
  <c r="Y89" i="90" s="1"/>
  <c r="Y91" i="90" s="1"/>
  <c r="Y92" i="90" s="1"/>
  <c r="Y49" i="90"/>
  <c r="X49" i="90"/>
  <c r="X50" i="90"/>
  <c r="X54" i="90"/>
  <c r="X68" i="90"/>
  <c r="X72" i="90"/>
  <c r="X84" i="90"/>
  <c r="X100" i="90" s="1"/>
  <c r="X99" i="90"/>
  <c r="X110" i="90"/>
  <c r="G8" i="14" l="1"/>
  <c r="AF100" i="91"/>
  <c r="AF89" i="91"/>
  <c r="AF91" i="91" s="1"/>
  <c r="AF92" i="91" s="1"/>
  <c r="AE89" i="91"/>
  <c r="AE91" i="91" s="1"/>
  <c r="AW249" i="91" s="1"/>
  <c r="AD89" i="91"/>
  <c r="AD91" i="91" s="1"/>
  <c r="AD7" i="91" s="1"/>
  <c r="AC100" i="91"/>
  <c r="AB5" i="91"/>
  <c r="AC89" i="91"/>
  <c r="AC91" i="91" s="1"/>
  <c r="AC7" i="91" s="1"/>
  <c r="AB100" i="91"/>
  <c r="AB89" i="91"/>
  <c r="AB91" i="91" s="1"/>
  <c r="AT249" i="91" s="1"/>
  <c r="T5" i="91"/>
  <c r="AI72" i="91"/>
  <c r="U89" i="91"/>
  <c r="U91" i="91" s="1"/>
  <c r="U92" i="91" s="1"/>
  <c r="T89" i="91"/>
  <c r="T91" i="91" s="1"/>
  <c r="T92" i="91" s="1"/>
  <c r="S5" i="91"/>
  <c r="S89" i="91"/>
  <c r="S91" i="91" s="1"/>
  <c r="S92" i="91" s="1"/>
  <c r="R100" i="91"/>
  <c r="R89" i="91"/>
  <c r="R91" i="91" s="1"/>
  <c r="P5" i="91"/>
  <c r="Q89" i="91"/>
  <c r="Q91" i="91" s="1"/>
  <c r="P100" i="91"/>
  <c r="P89" i="91"/>
  <c r="P91" i="91" s="1"/>
  <c r="O89" i="91"/>
  <c r="O91" i="91" s="1"/>
  <c r="AG249" i="91" s="1"/>
  <c r="AI113" i="91"/>
  <c r="N89" i="91"/>
  <c r="N91" i="91" s="1"/>
  <c r="L5" i="91"/>
  <c r="M89" i="91"/>
  <c r="M91" i="91" s="1"/>
  <c r="AE249" i="91" s="1"/>
  <c r="J5" i="91"/>
  <c r="K89" i="91"/>
  <c r="K91" i="91" s="1"/>
  <c r="K92" i="91" s="1"/>
  <c r="L89" i="91"/>
  <c r="L91" i="91" s="1"/>
  <c r="L92" i="91" s="1"/>
  <c r="I5" i="91"/>
  <c r="H5" i="91"/>
  <c r="I89" i="91"/>
  <c r="I91" i="91" s="1"/>
  <c r="I7" i="91" s="1"/>
  <c r="H100" i="91"/>
  <c r="H89" i="91"/>
  <c r="H91" i="91" s="1"/>
  <c r="H92" i="91" s="1"/>
  <c r="G89" i="91"/>
  <c r="G91" i="91" s="1"/>
  <c r="Y249" i="91" s="1"/>
  <c r="J89" i="91"/>
  <c r="J91" i="91" s="1"/>
  <c r="J92" i="91" s="1"/>
  <c r="F89" i="91"/>
  <c r="F91" i="91" s="1"/>
  <c r="F7" i="91" s="1"/>
  <c r="AI99" i="91"/>
  <c r="E100" i="91"/>
  <c r="E89" i="91"/>
  <c r="E91" i="91" s="1"/>
  <c r="E7" i="91" s="1"/>
  <c r="AI54" i="91"/>
  <c r="AI68" i="91"/>
  <c r="D89" i="91"/>
  <c r="D91" i="91" s="1"/>
  <c r="D92" i="91" s="1"/>
  <c r="AI84" i="91"/>
  <c r="B5" i="91"/>
  <c r="C89" i="91"/>
  <c r="C91" i="91" s="1"/>
  <c r="C7" i="91" s="1"/>
  <c r="AH68" i="91"/>
  <c r="AF5" i="91"/>
  <c r="AH72" i="91"/>
  <c r="B89" i="91"/>
  <c r="B91" i="91" s="1"/>
  <c r="N7" i="91"/>
  <c r="AF249" i="91"/>
  <c r="N92" i="91"/>
  <c r="V7" i="91"/>
  <c r="AN249" i="91"/>
  <c r="AO249" i="91"/>
  <c r="W7" i="91"/>
  <c r="P92" i="91"/>
  <c r="P7" i="91"/>
  <c r="AH249" i="91"/>
  <c r="X7" i="91"/>
  <c r="AP249" i="91"/>
  <c r="AF7" i="91"/>
  <c r="AX249" i="91"/>
  <c r="Q92" i="91"/>
  <c r="Q7" i="91"/>
  <c r="AI249" i="91"/>
  <c r="Y7" i="91"/>
  <c r="AQ249" i="91"/>
  <c r="T7" i="91"/>
  <c r="AL249" i="91"/>
  <c r="G229" i="91"/>
  <c r="R92" i="91"/>
  <c r="R7" i="91"/>
  <c r="AJ249" i="91"/>
  <c r="Z7" i="91"/>
  <c r="AR249" i="91"/>
  <c r="AB92" i="91"/>
  <c r="AB7" i="91"/>
  <c r="J232" i="91"/>
  <c r="K232" i="91" s="1"/>
  <c r="L232" i="91" s="1"/>
  <c r="M232" i="91" s="1"/>
  <c r="N232" i="91" s="1"/>
  <c r="O232" i="91" s="1"/>
  <c r="P232" i="91" s="1"/>
  <c r="S7" i="91"/>
  <c r="AK249" i="91"/>
  <c r="AA7" i="91"/>
  <c r="AS249" i="91"/>
  <c r="AM249" i="91"/>
  <c r="AH50" i="91"/>
  <c r="AH54" i="91"/>
  <c r="G100" i="91"/>
  <c r="O100" i="91"/>
  <c r="AE100" i="91"/>
  <c r="D246" i="91"/>
  <c r="AI50" i="91"/>
  <c r="AH99" i="91"/>
  <c r="E230" i="91"/>
  <c r="E234" i="91"/>
  <c r="AG2" i="91"/>
  <c r="AG6" i="91" s="1"/>
  <c r="C5" i="91"/>
  <c r="K5" i="91"/>
  <c r="B100" i="91"/>
  <c r="E5" i="91"/>
  <c r="M5" i="91"/>
  <c r="U5" i="91"/>
  <c r="AC5" i="91"/>
  <c r="AH84" i="91"/>
  <c r="B235" i="91"/>
  <c r="AA89" i="90"/>
  <c r="AA91" i="90" s="1"/>
  <c r="AA92" i="90" s="1"/>
  <c r="Z89" i="90"/>
  <c r="Z91" i="90" s="1"/>
  <c r="Z92" i="90" s="1"/>
  <c r="X89" i="90"/>
  <c r="X91" i="90" s="1"/>
  <c r="X92" i="90" s="1"/>
  <c r="AE92" i="91" l="1"/>
  <c r="AE7" i="91"/>
  <c r="AD92" i="91"/>
  <c r="AV249" i="91"/>
  <c r="AC92" i="91"/>
  <c r="AU249" i="91"/>
  <c r="U7" i="91"/>
  <c r="O7" i="91"/>
  <c r="O92" i="91"/>
  <c r="M7" i="91"/>
  <c r="M92" i="91"/>
  <c r="AD249" i="91"/>
  <c r="L7" i="91"/>
  <c r="AC249" i="91"/>
  <c r="K7" i="91"/>
  <c r="AB249" i="91"/>
  <c r="J7" i="91"/>
  <c r="AA249" i="91"/>
  <c r="I92" i="91"/>
  <c r="Z249" i="91"/>
  <c r="H7" i="91"/>
  <c r="G7" i="91"/>
  <c r="B244" i="91"/>
  <c r="C244" i="91"/>
  <c r="G92" i="91"/>
  <c r="X249" i="91"/>
  <c r="F92" i="91"/>
  <c r="D7" i="91"/>
  <c r="V249" i="91"/>
  <c r="E92" i="91"/>
  <c r="W249" i="91"/>
  <c r="U249" i="91"/>
  <c r="C92" i="91"/>
  <c r="AI89" i="91"/>
  <c r="AH89" i="91"/>
  <c r="F230" i="91"/>
  <c r="E235" i="91"/>
  <c r="D270" i="91"/>
  <c r="F234" i="91"/>
  <c r="E110" i="91"/>
  <c r="B92" i="91"/>
  <c r="AI91" i="91"/>
  <c r="AH91" i="91"/>
  <c r="B7" i="91"/>
  <c r="T249" i="91"/>
  <c r="H229" i="91"/>
  <c r="AI100" i="91"/>
  <c r="AH100" i="91"/>
  <c r="A7" i="91" l="1"/>
  <c r="K6" i="91"/>
  <c r="I229" i="91"/>
  <c r="E270" i="91"/>
  <c r="G234" i="91"/>
  <c r="F110" i="91"/>
  <c r="AI92" i="91"/>
  <c r="AH92" i="91"/>
  <c r="G230" i="91"/>
  <c r="F235" i="91"/>
  <c r="H230" i="91" l="1"/>
  <c r="G235" i="91"/>
  <c r="F270" i="91"/>
  <c r="H234" i="91"/>
  <c r="G110" i="91"/>
  <c r="J229" i="91"/>
  <c r="G270" i="91" l="1"/>
  <c r="I234" i="91"/>
  <c r="H110" i="91"/>
  <c r="I230" i="91"/>
  <c r="H235" i="91"/>
  <c r="K229" i="91"/>
  <c r="L229" i="91" l="1"/>
  <c r="J230" i="91"/>
  <c r="H270" i="91"/>
  <c r="J234" i="91"/>
  <c r="I110" i="91"/>
  <c r="K234" i="91" l="1"/>
  <c r="I270" i="91"/>
  <c r="J110" i="91"/>
  <c r="K230" i="91"/>
  <c r="M229" i="91"/>
  <c r="W49" i="90"/>
  <c r="W50" i="90"/>
  <c r="W54" i="90"/>
  <c r="W68" i="90"/>
  <c r="W72" i="90"/>
  <c r="W84" i="90"/>
  <c r="W100" i="90" s="1"/>
  <c r="W99" i="90"/>
  <c r="W110" i="90"/>
  <c r="V49" i="90"/>
  <c r="V50" i="90"/>
  <c r="V54" i="90"/>
  <c r="V68" i="90"/>
  <c r="V72" i="90"/>
  <c r="V84" i="90"/>
  <c r="V99" i="90"/>
  <c r="V110" i="90"/>
  <c r="U49" i="90"/>
  <c r="U50" i="90"/>
  <c r="U54" i="90"/>
  <c r="U68" i="90"/>
  <c r="U72" i="90"/>
  <c r="U84" i="90"/>
  <c r="U100" i="90" s="1"/>
  <c r="U99" i="90"/>
  <c r="U110" i="90"/>
  <c r="N229" i="91" l="1"/>
  <c r="L230" i="91"/>
  <c r="J270" i="91"/>
  <c r="L234" i="91"/>
  <c r="K110" i="91"/>
  <c r="W89" i="90"/>
  <c r="W91" i="90" s="1"/>
  <c r="W92" i="90" s="1"/>
  <c r="V100" i="90"/>
  <c r="V89" i="90"/>
  <c r="V91" i="90" s="1"/>
  <c r="V92" i="90" s="1"/>
  <c r="U89" i="90"/>
  <c r="U91" i="90" s="1"/>
  <c r="U92" i="90" s="1"/>
  <c r="K270" i="91" l="1"/>
  <c r="M234" i="91"/>
  <c r="L110" i="91"/>
  <c r="M230" i="91"/>
  <c r="O229" i="91"/>
  <c r="P229" i="91" l="1"/>
  <c r="N230" i="91"/>
  <c r="L270" i="91"/>
  <c r="N234" i="91"/>
  <c r="M110" i="91"/>
  <c r="O230" i="91" l="1"/>
  <c r="M270" i="91"/>
  <c r="O234" i="91"/>
  <c r="N110" i="91"/>
  <c r="N270" i="91" l="1"/>
  <c r="P234" i="91"/>
  <c r="O270" i="91" s="1"/>
  <c r="O110" i="91"/>
  <c r="P230" i="91"/>
  <c r="AH110" i="91" l="1"/>
  <c r="AI110" i="91"/>
  <c r="T49" i="90" l="1"/>
  <c r="T50" i="90"/>
  <c r="T54" i="90"/>
  <c r="T68" i="90"/>
  <c r="T72" i="90"/>
  <c r="T84" i="90"/>
  <c r="T100" i="90" s="1"/>
  <c r="T99" i="90"/>
  <c r="T110" i="90"/>
  <c r="T89" i="90" l="1"/>
  <c r="T91" i="90" s="1"/>
  <c r="T92" i="90" s="1"/>
  <c r="S49" i="90"/>
  <c r="S50" i="90"/>
  <c r="S54" i="90"/>
  <c r="S68" i="90"/>
  <c r="S72" i="90"/>
  <c r="S84" i="90"/>
  <c r="S100" i="90" s="1"/>
  <c r="S99" i="90"/>
  <c r="S110" i="90"/>
  <c r="Q49" i="90"/>
  <c r="R49" i="90"/>
  <c r="P49" i="90"/>
  <c r="S89" i="90" l="1"/>
  <c r="S91" i="90" s="1"/>
  <c r="S92" i="90" s="1"/>
  <c r="O49" i="90" l="1"/>
  <c r="N49" i="90"/>
  <c r="M113" i="90"/>
  <c r="M49" i="90"/>
  <c r="AH49" i="90"/>
  <c r="M50" i="90"/>
  <c r="M54" i="90"/>
  <c r="M68" i="90"/>
  <c r="M72" i="90"/>
  <c r="M84" i="90"/>
  <c r="M99" i="90"/>
  <c r="M110" i="90"/>
  <c r="L113" i="90"/>
  <c r="L49" i="90"/>
  <c r="K113" i="90"/>
  <c r="K49" i="90"/>
  <c r="J113" i="90"/>
  <c r="AI113" i="90" s="1"/>
  <c r="J49" i="90"/>
  <c r="I113" i="90"/>
  <c r="I49" i="90"/>
  <c r="H113" i="90"/>
  <c r="H49" i="90"/>
  <c r="G113" i="90"/>
  <c r="G49" i="90"/>
  <c r="F49" i="90"/>
  <c r="F113" i="90"/>
  <c r="E113" i="90"/>
  <c r="E49" i="90"/>
  <c r="AF274" i="90"/>
  <c r="AE274" i="90"/>
  <c r="AD274" i="90"/>
  <c r="AC274" i="90"/>
  <c r="AB274" i="90"/>
  <c r="AA274" i="90"/>
  <c r="Z274" i="90"/>
  <c r="Y274" i="90"/>
  <c r="X274" i="90"/>
  <c r="W274" i="90"/>
  <c r="V274" i="90"/>
  <c r="U274" i="90"/>
  <c r="T274" i="90"/>
  <c r="S274" i="90"/>
  <c r="R274" i="90"/>
  <c r="Q274" i="90"/>
  <c r="P274" i="90"/>
  <c r="O274" i="90"/>
  <c r="N274" i="90"/>
  <c r="M274" i="90"/>
  <c r="L274" i="90"/>
  <c r="K274" i="90"/>
  <c r="J274" i="90"/>
  <c r="I274" i="90"/>
  <c r="H274" i="90"/>
  <c r="G274" i="90"/>
  <c r="F274" i="90"/>
  <c r="E274" i="90"/>
  <c r="D274" i="90"/>
  <c r="C274" i="90"/>
  <c r="B274" i="90"/>
  <c r="A274" i="90"/>
  <c r="AF273" i="90"/>
  <c r="AE273" i="90"/>
  <c r="AD273" i="90"/>
  <c r="AC273" i="90"/>
  <c r="AB273" i="90"/>
  <c r="AA273" i="90"/>
  <c r="Z273" i="90"/>
  <c r="Y273" i="90"/>
  <c r="X273" i="90"/>
  <c r="W273" i="90"/>
  <c r="V273" i="90"/>
  <c r="U273" i="90"/>
  <c r="T273" i="90"/>
  <c r="S273" i="90"/>
  <c r="R273" i="90"/>
  <c r="Q273" i="90"/>
  <c r="P273" i="90"/>
  <c r="O273" i="90"/>
  <c r="N273" i="90"/>
  <c r="M273" i="90"/>
  <c r="L273" i="90"/>
  <c r="K273" i="90"/>
  <c r="J273" i="90"/>
  <c r="I273" i="90"/>
  <c r="H273" i="90"/>
  <c r="G273" i="90"/>
  <c r="F273" i="90"/>
  <c r="E273" i="90"/>
  <c r="D273" i="90"/>
  <c r="C273" i="90"/>
  <c r="B273" i="90"/>
  <c r="A273" i="90"/>
  <c r="AF272" i="90"/>
  <c r="AE272" i="90"/>
  <c r="AD272" i="90"/>
  <c r="AC272" i="90"/>
  <c r="AB272" i="90"/>
  <c r="AA272" i="90"/>
  <c r="Z272" i="90"/>
  <c r="Y272" i="90"/>
  <c r="X272" i="90"/>
  <c r="W272" i="90"/>
  <c r="V272" i="90"/>
  <c r="U272" i="90"/>
  <c r="T272" i="90"/>
  <c r="S272" i="90"/>
  <c r="R272" i="90"/>
  <c r="Q272" i="90"/>
  <c r="P272" i="90"/>
  <c r="O272" i="90"/>
  <c r="N272" i="90"/>
  <c r="M272" i="90"/>
  <c r="L272" i="90"/>
  <c r="K272" i="90"/>
  <c r="J272" i="90"/>
  <c r="I272" i="90"/>
  <c r="H272" i="90"/>
  <c r="G272" i="90"/>
  <c r="F272" i="90"/>
  <c r="E272" i="90"/>
  <c r="D272" i="90"/>
  <c r="C272" i="90"/>
  <c r="B272" i="90"/>
  <c r="A272" i="90"/>
  <c r="AF271" i="90"/>
  <c r="AE271" i="90"/>
  <c r="AD271" i="90"/>
  <c r="AC271" i="90"/>
  <c r="AB271" i="90"/>
  <c r="AA271" i="90"/>
  <c r="Z271" i="90"/>
  <c r="Y271" i="90"/>
  <c r="X271" i="90"/>
  <c r="W271" i="90"/>
  <c r="V271" i="90"/>
  <c r="U271" i="90"/>
  <c r="T271" i="90"/>
  <c r="S271" i="90"/>
  <c r="R271" i="90"/>
  <c r="Q271" i="90"/>
  <c r="P271" i="90"/>
  <c r="O271" i="90"/>
  <c r="N271" i="90"/>
  <c r="M271" i="90"/>
  <c r="L271" i="90"/>
  <c r="K271" i="90"/>
  <c r="J271" i="90"/>
  <c r="I271" i="90"/>
  <c r="H271" i="90"/>
  <c r="G271" i="90"/>
  <c r="F271" i="90"/>
  <c r="E271" i="90"/>
  <c r="D271" i="90"/>
  <c r="C271" i="90"/>
  <c r="B271" i="90"/>
  <c r="A271" i="90"/>
  <c r="AE270" i="90"/>
  <c r="AD270" i="90"/>
  <c r="AC270" i="90"/>
  <c r="AB270" i="90"/>
  <c r="AA270" i="90"/>
  <c r="Z270" i="90"/>
  <c r="Y270" i="90"/>
  <c r="X270" i="90"/>
  <c r="W270" i="90"/>
  <c r="V270" i="90"/>
  <c r="U270" i="90"/>
  <c r="T270" i="90"/>
  <c r="S270" i="90"/>
  <c r="R270" i="90"/>
  <c r="Q270" i="90"/>
  <c r="P270" i="90"/>
  <c r="B270" i="90"/>
  <c r="S245" i="90"/>
  <c r="AG235" i="90"/>
  <c r="AF235" i="90"/>
  <c r="AE235" i="90"/>
  <c r="AD235" i="90"/>
  <c r="AC235" i="90"/>
  <c r="AB235" i="90"/>
  <c r="AA235" i="90"/>
  <c r="Z235" i="90"/>
  <c r="Y235" i="90"/>
  <c r="X235" i="90"/>
  <c r="W235" i="90"/>
  <c r="V235" i="90"/>
  <c r="U235" i="90"/>
  <c r="T235" i="90"/>
  <c r="S235" i="90"/>
  <c r="R235" i="90"/>
  <c r="Q235" i="90"/>
  <c r="C235" i="90"/>
  <c r="E234" i="90"/>
  <c r="D270" i="90" s="1"/>
  <c r="D234" i="90"/>
  <c r="C270" i="90" s="1"/>
  <c r="B234" i="90"/>
  <c r="AF270" i="90" s="1"/>
  <c r="E233" i="90"/>
  <c r="F233" i="90" s="1"/>
  <c r="G233" i="90" s="1"/>
  <c r="H233" i="90" s="1"/>
  <c r="I233" i="90" s="1"/>
  <c r="J233" i="90" s="1"/>
  <c r="K233" i="90" s="1"/>
  <c r="L233" i="90" s="1"/>
  <c r="M233" i="90" s="1"/>
  <c r="N233" i="90" s="1"/>
  <c r="O233" i="90" s="1"/>
  <c r="P233" i="90" s="1"/>
  <c r="D233" i="90"/>
  <c r="B233" i="90"/>
  <c r="D232" i="90"/>
  <c r="E232" i="90" s="1"/>
  <c r="F232" i="90" s="1"/>
  <c r="G232" i="90" s="1"/>
  <c r="H232" i="90" s="1"/>
  <c r="I232" i="90" s="1"/>
  <c r="B232" i="90"/>
  <c r="G231" i="90"/>
  <c r="H231" i="90" s="1"/>
  <c r="F231" i="90"/>
  <c r="E231" i="90"/>
  <c r="D231" i="90"/>
  <c r="B231" i="90"/>
  <c r="E230" i="90"/>
  <c r="F230" i="90" s="1"/>
  <c r="G230" i="90" s="1"/>
  <c r="H230" i="90" s="1"/>
  <c r="I230" i="90" s="1"/>
  <c r="J230" i="90" s="1"/>
  <c r="K230" i="90" s="1"/>
  <c r="L230" i="90" s="1"/>
  <c r="M230" i="90" s="1"/>
  <c r="N230" i="90" s="1"/>
  <c r="O230" i="90" s="1"/>
  <c r="P230" i="90" s="1"/>
  <c r="D230" i="90"/>
  <c r="D235" i="90" s="1"/>
  <c r="B230" i="90"/>
  <c r="E229" i="90"/>
  <c r="F229" i="90" s="1"/>
  <c r="D229" i="90"/>
  <c r="B229" i="90"/>
  <c r="B110" i="90" s="1"/>
  <c r="AG227" i="90"/>
  <c r="AF227" i="90"/>
  <c r="AE227" i="90"/>
  <c r="AD227" i="90"/>
  <c r="AC227" i="90"/>
  <c r="AB227" i="90"/>
  <c r="AA227" i="90"/>
  <c r="Z227" i="90"/>
  <c r="Y227" i="90"/>
  <c r="X227" i="90"/>
  <c r="W227" i="90"/>
  <c r="V227" i="90"/>
  <c r="U227" i="90"/>
  <c r="T227" i="90"/>
  <c r="S227" i="90"/>
  <c r="R227" i="90"/>
  <c r="Q227" i="90"/>
  <c r="P227" i="90"/>
  <c r="O227" i="90"/>
  <c r="N227" i="90"/>
  <c r="M227" i="90"/>
  <c r="L227" i="90"/>
  <c r="K227" i="90"/>
  <c r="J227" i="90"/>
  <c r="I227" i="90"/>
  <c r="H227" i="90"/>
  <c r="G227" i="90"/>
  <c r="F227" i="90"/>
  <c r="E227" i="90"/>
  <c r="D227" i="90"/>
  <c r="C227" i="90"/>
  <c r="B227" i="90"/>
  <c r="AI120" i="90"/>
  <c r="AH120" i="90"/>
  <c r="AI119" i="90"/>
  <c r="AH119" i="90"/>
  <c r="AI118" i="90"/>
  <c r="AH118" i="90"/>
  <c r="AI117" i="90"/>
  <c r="AH117" i="90"/>
  <c r="AI116" i="90"/>
  <c r="AH116" i="90"/>
  <c r="AI115" i="90"/>
  <c r="AH115" i="90"/>
  <c r="AI114" i="90"/>
  <c r="AH114" i="90"/>
  <c r="AI112" i="90"/>
  <c r="AH112" i="90"/>
  <c r="AI111" i="90"/>
  <c r="AH111" i="90"/>
  <c r="AC110" i="90"/>
  <c r="AB110" i="90"/>
  <c r="R110" i="90"/>
  <c r="Q110" i="90"/>
  <c r="E110" i="90"/>
  <c r="D110" i="90"/>
  <c r="C110" i="90"/>
  <c r="AI109" i="90"/>
  <c r="AH109" i="90"/>
  <c r="AI108" i="90"/>
  <c r="AH108" i="90"/>
  <c r="AI107" i="90"/>
  <c r="AH107" i="90"/>
  <c r="AI106" i="90"/>
  <c r="AH106" i="90"/>
  <c r="AI105" i="90"/>
  <c r="AH105" i="90"/>
  <c r="AI104" i="90"/>
  <c r="AH104" i="90"/>
  <c r="AI103" i="90"/>
  <c r="AH103" i="90"/>
  <c r="AI102" i="90"/>
  <c r="AH102" i="90"/>
  <c r="AI101" i="90"/>
  <c r="AH101" i="90"/>
  <c r="AF99" i="90"/>
  <c r="AE99" i="90"/>
  <c r="AD99" i="90"/>
  <c r="AC99" i="90"/>
  <c r="AB99" i="90"/>
  <c r="R99" i="90"/>
  <c r="Q99" i="90"/>
  <c r="P99" i="90"/>
  <c r="O99" i="90"/>
  <c r="N99" i="90"/>
  <c r="L99" i="90"/>
  <c r="K99" i="90"/>
  <c r="J99" i="90"/>
  <c r="I99" i="90"/>
  <c r="H99" i="90"/>
  <c r="G99" i="90"/>
  <c r="F99" i="90"/>
  <c r="E99" i="90"/>
  <c r="D99" i="90"/>
  <c r="C99" i="90"/>
  <c r="B99" i="90"/>
  <c r="AI98" i="90"/>
  <c r="AH98" i="90"/>
  <c r="AI97" i="90"/>
  <c r="AH97" i="90"/>
  <c r="AI96" i="90"/>
  <c r="AH96" i="90"/>
  <c r="AI95" i="90"/>
  <c r="AH95" i="90"/>
  <c r="AI94" i="90"/>
  <c r="AH94" i="90"/>
  <c r="AI93" i="90"/>
  <c r="AH93" i="90"/>
  <c r="AI90" i="90"/>
  <c r="AH90" i="90"/>
  <c r="AI88" i="90"/>
  <c r="AH88" i="90"/>
  <c r="AG88" i="90"/>
  <c r="AG91" i="90" s="1"/>
  <c r="AI87" i="90"/>
  <c r="AH87" i="90"/>
  <c r="AI86" i="90"/>
  <c r="AH86" i="90"/>
  <c r="AI85" i="90"/>
  <c r="AH85" i="90"/>
  <c r="AG84" i="90"/>
  <c r="AF84" i="90"/>
  <c r="AE5" i="90" s="1"/>
  <c r="AE84" i="90"/>
  <c r="AD5" i="90" s="1"/>
  <c r="AD84" i="90"/>
  <c r="AD100" i="90" s="1"/>
  <c r="AC84" i="90"/>
  <c r="AB84" i="90"/>
  <c r="X5" i="90"/>
  <c r="V5" i="90"/>
  <c r="R84" i="90"/>
  <c r="R100" i="90" s="1"/>
  <c r="Q84" i="90"/>
  <c r="P5" i="90" s="1"/>
  <c r="P84" i="90"/>
  <c r="O5" i="90" s="1"/>
  <c r="O84" i="90"/>
  <c r="N5" i="90" s="1"/>
  <c r="N84" i="90"/>
  <c r="N100" i="90" s="1"/>
  <c r="L84" i="90"/>
  <c r="L100" i="90" s="1"/>
  <c r="K84" i="90"/>
  <c r="J5" i="90" s="1"/>
  <c r="J84" i="90"/>
  <c r="I84" i="90"/>
  <c r="H5" i="90" s="1"/>
  <c r="H84" i="90"/>
  <c r="H100" i="90" s="1"/>
  <c r="G84" i="90"/>
  <c r="F5" i="90" s="1"/>
  <c r="F84" i="90"/>
  <c r="F100" i="90" s="1"/>
  <c r="E84" i="90"/>
  <c r="E100" i="90" s="1"/>
  <c r="D84" i="90"/>
  <c r="D100" i="90" s="1"/>
  <c r="C84" i="90"/>
  <c r="B5" i="90" s="1"/>
  <c r="B84" i="90"/>
  <c r="AF5" i="90" s="1"/>
  <c r="AI83" i="90"/>
  <c r="AH83" i="90"/>
  <c r="AI82" i="90"/>
  <c r="AH82" i="90"/>
  <c r="AI81" i="90"/>
  <c r="AH81" i="90"/>
  <c r="AI80" i="90"/>
  <c r="AH80" i="90"/>
  <c r="AI79" i="90"/>
  <c r="AH79" i="90"/>
  <c r="AI78" i="90"/>
  <c r="AH78" i="90"/>
  <c r="AI77" i="90"/>
  <c r="AH77" i="90"/>
  <c r="AI76" i="90"/>
  <c r="AH76" i="90"/>
  <c r="AI75" i="90"/>
  <c r="AH75" i="90"/>
  <c r="AI74" i="90"/>
  <c r="AH74" i="90"/>
  <c r="AI73" i="90"/>
  <c r="AH73" i="90"/>
  <c r="AG72" i="90"/>
  <c r="AF72" i="90"/>
  <c r="AE72" i="90"/>
  <c r="AD72" i="90"/>
  <c r="AC72" i="90"/>
  <c r="AB72" i="90"/>
  <c r="R72" i="90"/>
  <c r="Q72" i="90"/>
  <c r="P72" i="90"/>
  <c r="O72" i="90"/>
  <c r="N72" i="90"/>
  <c r="L72" i="90"/>
  <c r="B72" i="90"/>
  <c r="AI71" i="90"/>
  <c r="AH71" i="90"/>
  <c r="AI70" i="90"/>
  <c r="AH70" i="90"/>
  <c r="AI69" i="90"/>
  <c r="AH69" i="90"/>
  <c r="AG68" i="90"/>
  <c r="AG3" i="90" s="1"/>
  <c r="AG6" i="90" s="1"/>
  <c r="AF68" i="90"/>
  <c r="AE68" i="90"/>
  <c r="AD68" i="90"/>
  <c r="AC68" i="90"/>
  <c r="AB68" i="90"/>
  <c r="R68" i="90"/>
  <c r="Q68" i="90"/>
  <c r="P68" i="90"/>
  <c r="O68" i="90"/>
  <c r="N68" i="90"/>
  <c r="L68" i="90"/>
  <c r="K68" i="90"/>
  <c r="J68" i="90"/>
  <c r="I68" i="90"/>
  <c r="H68" i="90"/>
  <c r="G68" i="90"/>
  <c r="F68" i="90"/>
  <c r="E68" i="90"/>
  <c r="D68" i="90"/>
  <c r="C68" i="90"/>
  <c r="B68" i="90"/>
  <c r="AI67" i="90"/>
  <c r="AH67" i="90"/>
  <c r="AG67" i="90"/>
  <c r="AI66" i="90"/>
  <c r="AH66" i="90"/>
  <c r="AI65" i="90"/>
  <c r="AH65" i="90"/>
  <c r="AI64" i="90"/>
  <c r="AH64" i="90"/>
  <c r="AI63" i="90"/>
  <c r="AH63" i="90"/>
  <c r="AI62" i="90"/>
  <c r="AH62" i="90"/>
  <c r="AI61" i="90"/>
  <c r="AH61" i="90"/>
  <c r="AI60" i="90"/>
  <c r="AH60" i="90"/>
  <c r="AI59" i="90"/>
  <c r="AH59" i="90"/>
  <c r="AI58" i="90"/>
  <c r="AH58" i="90"/>
  <c r="AI57" i="90"/>
  <c r="AH57" i="90"/>
  <c r="AI56" i="90"/>
  <c r="AH56" i="90"/>
  <c r="AI55" i="90"/>
  <c r="AH55" i="90"/>
  <c r="AG54" i="90"/>
  <c r="AF54" i="90"/>
  <c r="AE54" i="90"/>
  <c r="AD54" i="90"/>
  <c r="AC54" i="90"/>
  <c r="AB54" i="90"/>
  <c r="R54" i="90"/>
  <c r="Q54" i="90"/>
  <c r="P54" i="90"/>
  <c r="O54" i="90"/>
  <c r="N54" i="90"/>
  <c r="L54" i="90"/>
  <c r="K54" i="90"/>
  <c r="J54" i="90"/>
  <c r="I54" i="90"/>
  <c r="H54" i="90"/>
  <c r="G54" i="90"/>
  <c r="F54" i="90"/>
  <c r="E54" i="90"/>
  <c r="D54" i="90"/>
  <c r="C54" i="90"/>
  <c r="B54" i="90"/>
  <c r="AI53" i="90"/>
  <c r="AH53" i="90"/>
  <c r="AI52" i="90"/>
  <c r="AH52" i="90"/>
  <c r="AI51" i="90"/>
  <c r="AH51" i="90"/>
  <c r="AG50" i="90"/>
  <c r="AG89" i="90" s="1"/>
  <c r="AF50" i="90"/>
  <c r="AE50" i="90"/>
  <c r="AD50" i="90"/>
  <c r="AC50" i="90"/>
  <c r="AB50" i="90"/>
  <c r="R50" i="90"/>
  <c r="Q50" i="90"/>
  <c r="P50" i="90"/>
  <c r="O50" i="90"/>
  <c r="N50" i="90"/>
  <c r="L50" i="90"/>
  <c r="K50" i="90"/>
  <c r="J50" i="90"/>
  <c r="I50" i="90"/>
  <c r="H50" i="90"/>
  <c r="G50" i="90"/>
  <c r="F50" i="90"/>
  <c r="E50" i="90"/>
  <c r="D50" i="90"/>
  <c r="C50" i="90"/>
  <c r="B50" i="90"/>
  <c r="AI48" i="90"/>
  <c r="AH48" i="90"/>
  <c r="AI47" i="90"/>
  <c r="AH47" i="90"/>
  <c r="AI46" i="90"/>
  <c r="AH46" i="90"/>
  <c r="AI45" i="90"/>
  <c r="AH45" i="90"/>
  <c r="AI44" i="90"/>
  <c r="AH44" i="90"/>
  <c r="AI43" i="90"/>
  <c r="AH43" i="90"/>
  <c r="AI42" i="90"/>
  <c r="AH42" i="90"/>
  <c r="AI41" i="90"/>
  <c r="AH41" i="90"/>
  <c r="AI40" i="90"/>
  <c r="AH40" i="90"/>
  <c r="AI39" i="90"/>
  <c r="AH39" i="90"/>
  <c r="AI38" i="90"/>
  <c r="AH38" i="90"/>
  <c r="AI37" i="90"/>
  <c r="AH37" i="90"/>
  <c r="AI36" i="90"/>
  <c r="AH36" i="90"/>
  <c r="AI35" i="90"/>
  <c r="AH35" i="90"/>
  <c r="AI34" i="90"/>
  <c r="AH34" i="90"/>
  <c r="AI33" i="90"/>
  <c r="AH33" i="90"/>
  <c r="AI32" i="90"/>
  <c r="AH32" i="90"/>
  <c r="AI31" i="90"/>
  <c r="AH31" i="90"/>
  <c r="AI30" i="90"/>
  <c r="AH30" i="90"/>
  <c r="AI29" i="90"/>
  <c r="AH29" i="90"/>
  <c r="AI28" i="90"/>
  <c r="AH28" i="90"/>
  <c r="AI27" i="90"/>
  <c r="AH27" i="90"/>
  <c r="AI26" i="90"/>
  <c r="AH26" i="90"/>
  <c r="AI25" i="90"/>
  <c r="AH25" i="90"/>
  <c r="AI24" i="90"/>
  <c r="AH24" i="90"/>
  <c r="AI23" i="90"/>
  <c r="AH23" i="90"/>
  <c r="AI22" i="90"/>
  <c r="AH22" i="90"/>
  <c r="AI21" i="90"/>
  <c r="AH21" i="90"/>
  <c r="AI20" i="90"/>
  <c r="AH20" i="90"/>
  <c r="AI19" i="90"/>
  <c r="AH19" i="90"/>
  <c r="AI18" i="90"/>
  <c r="AH18" i="90"/>
  <c r="AI17" i="90"/>
  <c r="AH17" i="90"/>
  <c r="AI16" i="90"/>
  <c r="AH16" i="90"/>
  <c r="AI15" i="90"/>
  <c r="AH15" i="90"/>
  <c r="AI14" i="90"/>
  <c r="AH14" i="90"/>
  <c r="AI13" i="90"/>
  <c r="AH13" i="90"/>
  <c r="AI12" i="90"/>
  <c r="AH12" i="90"/>
  <c r="AI11" i="90"/>
  <c r="AH11" i="90"/>
  <c r="Z5" i="90"/>
  <c r="Y5" i="90"/>
  <c r="W5" i="90"/>
  <c r="T5" i="90"/>
  <c r="S5" i="90"/>
  <c r="R5" i="90"/>
  <c r="L5" i="90"/>
  <c r="G5" i="90"/>
  <c r="C5" i="90"/>
  <c r="AG4" i="90"/>
  <c r="K4" i="90"/>
  <c r="E4" i="90"/>
  <c r="H4" i="90" s="1"/>
  <c r="B4" i="90"/>
  <c r="S246" i="90" s="1"/>
  <c r="AG2" i="90"/>
  <c r="AB49" i="89"/>
  <c r="AA49" i="89"/>
  <c r="Z49" i="89"/>
  <c r="X49" i="89"/>
  <c r="W49" i="89"/>
  <c r="V49" i="89"/>
  <c r="U68" i="89"/>
  <c r="K32" i="87"/>
  <c r="K31" i="87"/>
  <c r="K30" i="87"/>
  <c r="K29" i="87"/>
  <c r="K28" i="87"/>
  <c r="K27" i="87"/>
  <c r="K26" i="87"/>
  <c r="K25" i="87"/>
  <c r="K24" i="87"/>
  <c r="K23" i="87"/>
  <c r="K22" i="87"/>
  <c r="K21" i="87"/>
  <c r="K20" i="87"/>
  <c r="K19" i="87"/>
  <c r="K18" i="87"/>
  <c r="K17" i="87"/>
  <c r="K16" i="87"/>
  <c r="K15" i="87"/>
  <c r="K14" i="87"/>
  <c r="K13" i="87"/>
  <c r="K12" i="87"/>
  <c r="K11" i="87"/>
  <c r="K10" i="87"/>
  <c r="K9" i="87"/>
  <c r="K8" i="87"/>
  <c r="K7" i="87"/>
  <c r="K6" i="87"/>
  <c r="K5" i="87"/>
  <c r="M25" i="14"/>
  <c r="S19" i="14"/>
  <c r="S20" i="14" s="1"/>
  <c r="M7" i="14"/>
  <c r="F7" i="14"/>
  <c r="F8" i="14" s="1"/>
  <c r="F6" i="14"/>
  <c r="F5" i="14"/>
  <c r="F4" i="14"/>
  <c r="F2" i="14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4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272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X249" i="6"/>
  <c r="AW249" i="6"/>
  <c r="AV249" i="6"/>
  <c r="AU249" i="6"/>
  <c r="AT249" i="6"/>
  <c r="AS249" i="6"/>
  <c r="AR249" i="6"/>
  <c r="AQ249" i="6"/>
  <c r="AP249" i="6"/>
  <c r="AO249" i="6"/>
  <c r="AN249" i="6"/>
  <c r="AM249" i="6"/>
  <c r="AL249" i="6"/>
  <c r="AK249" i="6"/>
  <c r="AJ249" i="6"/>
  <c r="AI249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5" i="6"/>
  <c r="C244" i="6"/>
  <c r="B244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H235" i="6"/>
  <c r="G235" i="6"/>
  <c r="F235" i="6"/>
  <c r="E235" i="6"/>
  <c r="D235" i="6"/>
  <c r="C235" i="6"/>
  <c r="B235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B234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B233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B232" i="6"/>
  <c r="H231" i="6"/>
  <c r="G231" i="6"/>
  <c r="F231" i="6"/>
  <c r="E231" i="6"/>
  <c r="D231" i="6"/>
  <c r="B231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B230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B229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I120" i="6"/>
  <c r="AH120" i="6"/>
  <c r="AI119" i="6"/>
  <c r="AH119" i="6"/>
  <c r="AI118" i="6"/>
  <c r="AH118" i="6"/>
  <c r="AI117" i="6"/>
  <c r="AH117" i="6"/>
  <c r="AI116" i="6"/>
  <c r="AH116" i="6"/>
  <c r="AI115" i="6"/>
  <c r="AH115" i="6"/>
  <c r="AI114" i="6"/>
  <c r="AH114" i="6"/>
  <c r="AI113" i="6"/>
  <c r="AH113" i="6"/>
  <c r="AI112" i="6"/>
  <c r="AH112" i="6"/>
  <c r="AI111" i="6"/>
  <c r="AH111" i="6"/>
  <c r="AI110" i="6"/>
  <c r="AH110" i="6"/>
  <c r="AF110" i="6"/>
  <c r="AE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I109" i="6"/>
  <c r="AH109" i="6"/>
  <c r="AI108" i="6"/>
  <c r="AH108" i="6"/>
  <c r="AI107" i="6"/>
  <c r="AH107" i="6"/>
  <c r="AI106" i="6"/>
  <c r="AH106" i="6"/>
  <c r="AI105" i="6"/>
  <c r="AH105" i="6"/>
  <c r="AI104" i="6"/>
  <c r="AH104" i="6"/>
  <c r="AI103" i="6"/>
  <c r="AH103" i="6"/>
  <c r="AI102" i="6"/>
  <c r="AH102" i="6"/>
  <c r="AI101" i="6"/>
  <c r="AH101" i="6"/>
  <c r="AI100" i="6"/>
  <c r="AH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I99" i="6"/>
  <c r="AH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I98" i="6"/>
  <c r="AH98" i="6"/>
  <c r="AI97" i="6"/>
  <c r="AH97" i="6"/>
  <c r="AI96" i="6"/>
  <c r="AH96" i="6"/>
  <c r="AI95" i="6"/>
  <c r="AH95" i="6"/>
  <c r="AI94" i="6"/>
  <c r="AH94" i="6"/>
  <c r="AI93" i="6"/>
  <c r="AH93" i="6"/>
  <c r="AI92" i="6"/>
  <c r="AH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I90" i="6"/>
  <c r="AH90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I88" i="6"/>
  <c r="AH88" i="6"/>
  <c r="AG88" i="6"/>
  <c r="AI87" i="6"/>
  <c r="AH87" i="6"/>
  <c r="AI86" i="6"/>
  <c r="AH86" i="6"/>
  <c r="AI85" i="6"/>
  <c r="AH85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I83" i="6"/>
  <c r="AH83" i="6"/>
  <c r="AI82" i="6"/>
  <c r="AH82" i="6"/>
  <c r="AI81" i="6"/>
  <c r="AH81" i="6"/>
  <c r="AI80" i="6"/>
  <c r="AH80" i="6"/>
  <c r="AI79" i="6"/>
  <c r="AH79" i="6"/>
  <c r="AI78" i="6"/>
  <c r="AH78" i="6"/>
  <c r="AI77" i="6"/>
  <c r="AH77" i="6"/>
  <c r="AI76" i="6"/>
  <c r="AH76" i="6"/>
  <c r="AI75" i="6"/>
  <c r="AH75" i="6"/>
  <c r="AI74" i="6"/>
  <c r="AH74" i="6"/>
  <c r="AI73" i="6"/>
  <c r="AH73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B72" i="6"/>
  <c r="AI71" i="6"/>
  <c r="AH71" i="6"/>
  <c r="AI70" i="6"/>
  <c r="AH70" i="6"/>
  <c r="AI69" i="6"/>
  <c r="AH69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I67" i="6"/>
  <c r="AH67" i="6"/>
  <c r="AG67" i="6"/>
  <c r="AI66" i="6"/>
  <c r="AH66" i="6"/>
  <c r="AI65" i="6"/>
  <c r="AH65" i="6"/>
  <c r="AI64" i="6"/>
  <c r="AH64" i="6"/>
  <c r="AI63" i="6"/>
  <c r="AH63" i="6"/>
  <c r="AI62" i="6"/>
  <c r="AH62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I53" i="6"/>
  <c r="AH53" i="6"/>
  <c r="AI52" i="6"/>
  <c r="AH52" i="6"/>
  <c r="AI51" i="6"/>
  <c r="AH51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7" i="6"/>
  <c r="AG6" i="6"/>
  <c r="K6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G4" i="6"/>
  <c r="K4" i="6"/>
  <c r="E4" i="6"/>
  <c r="H4" i="6" s="1"/>
  <c r="B4" i="6"/>
  <c r="S246" i="6" s="1"/>
  <c r="AG3" i="6"/>
  <c r="AG2" i="6"/>
  <c r="AF274" i="89"/>
  <c r="AE274" i="89"/>
  <c r="AD274" i="89"/>
  <c r="AC274" i="89"/>
  <c r="AB274" i="89"/>
  <c r="AA274" i="89"/>
  <c r="Z274" i="89"/>
  <c r="Y274" i="89"/>
  <c r="X274" i="89"/>
  <c r="W274" i="89"/>
  <c r="V274" i="89"/>
  <c r="U274" i="89"/>
  <c r="T274" i="89"/>
  <c r="S274" i="89"/>
  <c r="R274" i="89"/>
  <c r="Q274" i="89"/>
  <c r="P274" i="89"/>
  <c r="O274" i="89"/>
  <c r="N274" i="89"/>
  <c r="M274" i="89"/>
  <c r="L274" i="89"/>
  <c r="K274" i="89"/>
  <c r="J274" i="89"/>
  <c r="I274" i="89"/>
  <c r="H274" i="89"/>
  <c r="G274" i="89"/>
  <c r="F274" i="89"/>
  <c r="E274" i="89"/>
  <c r="D274" i="89"/>
  <c r="C274" i="89"/>
  <c r="B274" i="89"/>
  <c r="A274" i="89"/>
  <c r="AF273" i="89"/>
  <c r="AE273" i="89"/>
  <c r="AD273" i="89"/>
  <c r="AC273" i="89"/>
  <c r="AB273" i="89"/>
  <c r="AA273" i="89"/>
  <c r="Z273" i="89"/>
  <c r="Y273" i="89"/>
  <c r="X273" i="89"/>
  <c r="W273" i="89"/>
  <c r="V273" i="89"/>
  <c r="U273" i="89"/>
  <c r="T273" i="89"/>
  <c r="S273" i="89"/>
  <c r="R273" i="89"/>
  <c r="Q273" i="89"/>
  <c r="P273" i="89"/>
  <c r="O273" i="89"/>
  <c r="N273" i="89"/>
  <c r="M273" i="89"/>
  <c r="L273" i="89"/>
  <c r="K273" i="89"/>
  <c r="J273" i="89"/>
  <c r="I273" i="89"/>
  <c r="H273" i="89"/>
  <c r="G273" i="89"/>
  <c r="F273" i="89"/>
  <c r="E273" i="89"/>
  <c r="D273" i="89"/>
  <c r="C273" i="89"/>
  <c r="B273" i="89"/>
  <c r="A273" i="89"/>
  <c r="AF272" i="89"/>
  <c r="AE272" i="89"/>
  <c r="AD272" i="89"/>
  <c r="AC272" i="89"/>
  <c r="AB272" i="89"/>
  <c r="AA272" i="89"/>
  <c r="Z272" i="89"/>
  <c r="Y272" i="89"/>
  <c r="X272" i="89"/>
  <c r="W272" i="89"/>
  <c r="V272" i="89"/>
  <c r="U272" i="89"/>
  <c r="T272" i="89"/>
  <c r="S272" i="89"/>
  <c r="R272" i="89"/>
  <c r="Q272" i="89"/>
  <c r="P272" i="89"/>
  <c r="O272" i="89"/>
  <c r="N272" i="89"/>
  <c r="M272" i="89"/>
  <c r="L272" i="89"/>
  <c r="K272" i="89"/>
  <c r="J272" i="89"/>
  <c r="I272" i="89"/>
  <c r="H272" i="89"/>
  <c r="G272" i="89"/>
  <c r="F272" i="89"/>
  <c r="E272" i="89"/>
  <c r="D272" i="89"/>
  <c r="C272" i="89"/>
  <c r="B272" i="89"/>
  <c r="A272" i="89"/>
  <c r="AF271" i="89"/>
  <c r="AE271" i="89"/>
  <c r="AD271" i="89"/>
  <c r="AC271" i="89"/>
  <c r="AB271" i="89"/>
  <c r="AA271" i="89"/>
  <c r="Z271" i="89"/>
  <c r="Y271" i="89"/>
  <c r="X271" i="89"/>
  <c r="W271" i="89"/>
  <c r="V271" i="89"/>
  <c r="U271" i="89"/>
  <c r="T271" i="89"/>
  <c r="S271" i="89"/>
  <c r="R271" i="89"/>
  <c r="Q271" i="89"/>
  <c r="P271" i="89"/>
  <c r="O271" i="89"/>
  <c r="N271" i="89"/>
  <c r="M271" i="89"/>
  <c r="L271" i="89"/>
  <c r="K271" i="89"/>
  <c r="J271" i="89"/>
  <c r="I271" i="89"/>
  <c r="H271" i="89"/>
  <c r="G271" i="89"/>
  <c r="F271" i="89"/>
  <c r="E271" i="89"/>
  <c r="D271" i="89"/>
  <c r="C271" i="89"/>
  <c r="B271" i="89"/>
  <c r="A271" i="89"/>
  <c r="AF270" i="89"/>
  <c r="AE270" i="89"/>
  <c r="AD270" i="89"/>
  <c r="AC270" i="89"/>
  <c r="AB270" i="89"/>
  <c r="AA270" i="89"/>
  <c r="Z270" i="89"/>
  <c r="Y270" i="89"/>
  <c r="X270" i="89"/>
  <c r="W270" i="89"/>
  <c r="V270" i="89"/>
  <c r="U270" i="89"/>
  <c r="T270" i="89"/>
  <c r="S270" i="89"/>
  <c r="R270" i="89"/>
  <c r="Q270" i="89"/>
  <c r="P270" i="89"/>
  <c r="O270" i="89"/>
  <c r="N270" i="89"/>
  <c r="M270" i="89"/>
  <c r="L270" i="89"/>
  <c r="K270" i="89"/>
  <c r="J270" i="89"/>
  <c r="I270" i="89"/>
  <c r="H270" i="89"/>
  <c r="G270" i="89"/>
  <c r="F270" i="89"/>
  <c r="E270" i="89"/>
  <c r="D270" i="89"/>
  <c r="C270" i="89"/>
  <c r="B270" i="89"/>
  <c r="AJ249" i="89"/>
  <c r="AI249" i="89"/>
  <c r="AH249" i="89"/>
  <c r="AG249" i="89"/>
  <c r="AF249" i="89"/>
  <c r="AE249" i="89"/>
  <c r="AD249" i="89"/>
  <c r="AC249" i="89"/>
  <c r="AB249" i="89"/>
  <c r="AA249" i="89"/>
  <c r="Z249" i="89"/>
  <c r="Y249" i="89"/>
  <c r="X249" i="89"/>
  <c r="W249" i="89"/>
  <c r="V249" i="89"/>
  <c r="U249" i="89"/>
  <c r="T249" i="89"/>
  <c r="S245" i="89"/>
  <c r="C244" i="89"/>
  <c r="B244" i="89"/>
  <c r="AG235" i="89"/>
  <c r="AF235" i="89"/>
  <c r="AE235" i="89"/>
  <c r="AD235" i="89"/>
  <c r="AC235" i="89"/>
  <c r="AB235" i="89"/>
  <c r="AA235" i="89"/>
  <c r="Z235" i="89"/>
  <c r="Y235" i="89"/>
  <c r="X235" i="89"/>
  <c r="W235" i="89"/>
  <c r="V235" i="89"/>
  <c r="U235" i="89"/>
  <c r="T235" i="89"/>
  <c r="S235" i="89"/>
  <c r="R235" i="89"/>
  <c r="Q235" i="89"/>
  <c r="H235" i="89"/>
  <c r="G235" i="89"/>
  <c r="F235" i="89"/>
  <c r="E235" i="89"/>
  <c r="D235" i="89"/>
  <c r="C235" i="89"/>
  <c r="B235" i="89"/>
  <c r="P234" i="89"/>
  <c r="O234" i="89"/>
  <c r="N234" i="89"/>
  <c r="M234" i="89"/>
  <c r="L234" i="89"/>
  <c r="K234" i="89"/>
  <c r="J234" i="89"/>
  <c r="I234" i="89"/>
  <c r="H234" i="89"/>
  <c r="G234" i="89"/>
  <c r="F234" i="89"/>
  <c r="E234" i="89"/>
  <c r="D234" i="89"/>
  <c r="B234" i="89"/>
  <c r="P233" i="89"/>
  <c r="O233" i="89"/>
  <c r="N233" i="89"/>
  <c r="M233" i="89"/>
  <c r="L233" i="89"/>
  <c r="K233" i="89"/>
  <c r="J233" i="89"/>
  <c r="I233" i="89"/>
  <c r="H233" i="89"/>
  <c r="G233" i="89"/>
  <c r="F233" i="89"/>
  <c r="E233" i="89"/>
  <c r="D233" i="89"/>
  <c r="B233" i="89"/>
  <c r="P232" i="89"/>
  <c r="O232" i="89"/>
  <c r="N232" i="89"/>
  <c r="M232" i="89"/>
  <c r="L232" i="89"/>
  <c r="K232" i="89"/>
  <c r="J232" i="89"/>
  <c r="I232" i="89"/>
  <c r="H232" i="89"/>
  <c r="G232" i="89"/>
  <c r="F232" i="89"/>
  <c r="E232" i="89"/>
  <c r="D232" i="89"/>
  <c r="B232" i="89"/>
  <c r="H231" i="89"/>
  <c r="G231" i="89"/>
  <c r="F231" i="89"/>
  <c r="E231" i="89"/>
  <c r="D231" i="89"/>
  <c r="B231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B230" i="89"/>
  <c r="P229" i="89"/>
  <c r="O229" i="89"/>
  <c r="N229" i="89"/>
  <c r="M229" i="89"/>
  <c r="L229" i="89"/>
  <c r="K229" i="89"/>
  <c r="J229" i="89"/>
  <c r="I229" i="89"/>
  <c r="H229" i="89"/>
  <c r="G229" i="89"/>
  <c r="F229" i="89"/>
  <c r="E229" i="89"/>
  <c r="D229" i="89"/>
  <c r="B229" i="89"/>
  <c r="AG227" i="89"/>
  <c r="AF227" i="89"/>
  <c r="AE227" i="89"/>
  <c r="AD227" i="89"/>
  <c r="AC227" i="89"/>
  <c r="AB227" i="89"/>
  <c r="AA227" i="89"/>
  <c r="Z227" i="89"/>
  <c r="Y227" i="89"/>
  <c r="X227" i="89"/>
  <c r="W227" i="89"/>
  <c r="V227" i="89"/>
  <c r="U227" i="89"/>
  <c r="T227" i="89"/>
  <c r="S227" i="89"/>
  <c r="R227" i="89"/>
  <c r="Q227" i="89"/>
  <c r="P227" i="89"/>
  <c r="O227" i="89"/>
  <c r="N227" i="89"/>
  <c r="M227" i="89"/>
  <c r="L227" i="89"/>
  <c r="K227" i="89"/>
  <c r="J227" i="89"/>
  <c r="I227" i="89"/>
  <c r="H227" i="89"/>
  <c r="G227" i="89"/>
  <c r="F227" i="89"/>
  <c r="E227" i="89"/>
  <c r="D227" i="89"/>
  <c r="C227" i="89"/>
  <c r="B227" i="89"/>
  <c r="AI120" i="89"/>
  <c r="AH120" i="89"/>
  <c r="AI119" i="89"/>
  <c r="AH119" i="89"/>
  <c r="AI118" i="89"/>
  <c r="AH118" i="89"/>
  <c r="AI117" i="89"/>
  <c r="AH117" i="89"/>
  <c r="AI116" i="89"/>
  <c r="AH116" i="89"/>
  <c r="AI115" i="89"/>
  <c r="AH115" i="89"/>
  <c r="AI114" i="89"/>
  <c r="AH114" i="89"/>
  <c r="AI113" i="89"/>
  <c r="AH113" i="89"/>
  <c r="Q113" i="89"/>
  <c r="L113" i="89"/>
  <c r="K113" i="89"/>
  <c r="J113" i="89"/>
  <c r="I113" i="89"/>
  <c r="G113" i="89"/>
  <c r="F113" i="89"/>
  <c r="E113" i="89"/>
  <c r="D113" i="89"/>
  <c r="C113" i="89"/>
  <c r="B113" i="89"/>
  <c r="AI112" i="89"/>
  <c r="AH112" i="89"/>
  <c r="AI111" i="89"/>
  <c r="AH111" i="89"/>
  <c r="AF110" i="89"/>
  <c r="AE110" i="89"/>
  <c r="AC110" i="89"/>
  <c r="AB110" i="89"/>
  <c r="AA110" i="89"/>
  <c r="Z110" i="89"/>
  <c r="Y110" i="89"/>
  <c r="X110" i="89"/>
  <c r="W110" i="89"/>
  <c r="V110" i="89"/>
  <c r="U110" i="89"/>
  <c r="T110" i="89"/>
  <c r="S110" i="89"/>
  <c r="O110" i="89"/>
  <c r="N110" i="89"/>
  <c r="M110" i="89"/>
  <c r="L110" i="89"/>
  <c r="K110" i="89"/>
  <c r="J110" i="89"/>
  <c r="I110" i="89"/>
  <c r="H110" i="89"/>
  <c r="G110" i="89"/>
  <c r="F110" i="89"/>
  <c r="E110" i="89"/>
  <c r="D110" i="89"/>
  <c r="C110" i="89"/>
  <c r="B110" i="89"/>
  <c r="AI109" i="89"/>
  <c r="AH109" i="89"/>
  <c r="AI108" i="89"/>
  <c r="AH108" i="89"/>
  <c r="AI107" i="89"/>
  <c r="AH107" i="89"/>
  <c r="AI106" i="89"/>
  <c r="AH106" i="89"/>
  <c r="AI105" i="89"/>
  <c r="AH105" i="89"/>
  <c r="AI104" i="89"/>
  <c r="AH104" i="89"/>
  <c r="AI103" i="89"/>
  <c r="AH103" i="89"/>
  <c r="AI102" i="89"/>
  <c r="AH102" i="89"/>
  <c r="AI101" i="89"/>
  <c r="AH101" i="89"/>
  <c r="U100" i="89"/>
  <c r="T100" i="89"/>
  <c r="S100" i="89"/>
  <c r="R100" i="89"/>
  <c r="Q100" i="89"/>
  <c r="P100" i="89"/>
  <c r="O100" i="89"/>
  <c r="N100" i="89"/>
  <c r="M100" i="89"/>
  <c r="L100" i="89"/>
  <c r="K100" i="89"/>
  <c r="J100" i="89"/>
  <c r="I100" i="89"/>
  <c r="H100" i="89"/>
  <c r="G100" i="89"/>
  <c r="F100" i="89"/>
  <c r="E100" i="89"/>
  <c r="D100" i="89"/>
  <c r="C100" i="89"/>
  <c r="B100" i="89"/>
  <c r="AF99" i="89"/>
  <c r="AE99" i="89"/>
  <c r="AD99" i="89"/>
  <c r="AC99" i="89"/>
  <c r="AB99" i="89"/>
  <c r="AA99" i="89"/>
  <c r="Z99" i="89"/>
  <c r="Y99" i="89"/>
  <c r="X99" i="89"/>
  <c r="W99" i="89"/>
  <c r="V99" i="89"/>
  <c r="U99" i="89"/>
  <c r="T99" i="89"/>
  <c r="S99" i="89"/>
  <c r="R99" i="89"/>
  <c r="Q99" i="89"/>
  <c r="P99" i="89"/>
  <c r="O99" i="89"/>
  <c r="N99" i="89"/>
  <c r="M99" i="89"/>
  <c r="L99" i="89"/>
  <c r="K99" i="89"/>
  <c r="J99" i="89"/>
  <c r="I99" i="89"/>
  <c r="H99" i="89"/>
  <c r="G99" i="89"/>
  <c r="F99" i="89"/>
  <c r="E99" i="89"/>
  <c r="D99" i="89"/>
  <c r="C99" i="89"/>
  <c r="B99" i="89"/>
  <c r="AI98" i="89"/>
  <c r="AH98" i="89"/>
  <c r="AI97" i="89"/>
  <c r="AH97" i="89"/>
  <c r="AI96" i="89"/>
  <c r="AH96" i="89"/>
  <c r="AI95" i="89"/>
  <c r="AH95" i="89"/>
  <c r="AI94" i="89"/>
  <c r="AH94" i="89"/>
  <c r="AI93" i="89"/>
  <c r="AH93" i="89"/>
  <c r="R92" i="89"/>
  <c r="Q92" i="89"/>
  <c r="P92" i="89"/>
  <c r="O92" i="89"/>
  <c r="N92" i="89"/>
  <c r="M92" i="89"/>
  <c r="L92" i="89"/>
  <c r="K92" i="89"/>
  <c r="J92" i="89"/>
  <c r="I92" i="89"/>
  <c r="H92" i="89"/>
  <c r="G92" i="89"/>
  <c r="F92" i="89"/>
  <c r="E92" i="89"/>
  <c r="D92" i="89"/>
  <c r="C92" i="89"/>
  <c r="B92" i="89"/>
  <c r="AG91" i="89"/>
  <c r="R91" i="89"/>
  <c r="Q91" i="89"/>
  <c r="P91" i="89"/>
  <c r="O91" i="89"/>
  <c r="N91" i="89"/>
  <c r="M91" i="89"/>
  <c r="L91" i="89"/>
  <c r="K91" i="89"/>
  <c r="J91" i="89"/>
  <c r="I91" i="89"/>
  <c r="H91" i="89"/>
  <c r="G91" i="89"/>
  <c r="F91" i="89"/>
  <c r="E91" i="89"/>
  <c r="D91" i="89"/>
  <c r="C91" i="89"/>
  <c r="B91" i="89"/>
  <c r="AI90" i="89"/>
  <c r="AH90" i="89"/>
  <c r="AG89" i="89"/>
  <c r="S89" i="89"/>
  <c r="S91" i="89" s="1"/>
  <c r="R89" i="89"/>
  <c r="Q89" i="89"/>
  <c r="P89" i="89"/>
  <c r="O89" i="89"/>
  <c r="N89" i="89"/>
  <c r="M89" i="89"/>
  <c r="L89" i="89"/>
  <c r="K89" i="89"/>
  <c r="J89" i="89"/>
  <c r="I89" i="89"/>
  <c r="H89" i="89"/>
  <c r="G89" i="89"/>
  <c r="F89" i="89"/>
  <c r="E89" i="89"/>
  <c r="D89" i="89"/>
  <c r="C89" i="89"/>
  <c r="B89" i="89"/>
  <c r="AI88" i="89"/>
  <c r="AH88" i="89"/>
  <c r="AG88" i="89"/>
  <c r="AI87" i="89"/>
  <c r="AH87" i="89"/>
  <c r="AI86" i="89"/>
  <c r="AH86" i="89"/>
  <c r="AI85" i="89"/>
  <c r="AH85" i="89"/>
  <c r="AG84" i="89"/>
  <c r="AF84" i="89"/>
  <c r="AF100" i="89" s="1"/>
  <c r="AE84" i="89"/>
  <c r="AD5" i="89" s="1"/>
  <c r="AD84" i="89"/>
  <c r="AC84" i="89"/>
  <c r="AC100" i="89" s="1"/>
  <c r="AB84" i="89"/>
  <c r="AB100" i="89" s="1"/>
  <c r="AA84" i="89"/>
  <c r="Z5" i="89" s="1"/>
  <c r="Z84" i="89"/>
  <c r="Z100" i="89" s="1"/>
  <c r="Y84" i="89"/>
  <c r="X84" i="89"/>
  <c r="W84" i="89"/>
  <c r="V5" i="89" s="1"/>
  <c r="V84" i="89"/>
  <c r="U84" i="89"/>
  <c r="T84" i="89"/>
  <c r="S84" i="89"/>
  <c r="R84" i="89"/>
  <c r="Q84" i="89"/>
  <c r="P84" i="89"/>
  <c r="O84" i="89"/>
  <c r="N84" i="89"/>
  <c r="M84" i="89"/>
  <c r="L84" i="89"/>
  <c r="K84" i="89"/>
  <c r="J84" i="89"/>
  <c r="I84" i="89"/>
  <c r="H84" i="89"/>
  <c r="G84" i="89"/>
  <c r="F84" i="89"/>
  <c r="E84" i="89"/>
  <c r="D84" i="89"/>
  <c r="C84" i="89"/>
  <c r="B84" i="89"/>
  <c r="AI83" i="89"/>
  <c r="AH83" i="89"/>
  <c r="AI82" i="89"/>
  <c r="AH82" i="89"/>
  <c r="AI81" i="89"/>
  <c r="AH81" i="89"/>
  <c r="AI80" i="89"/>
  <c r="AH80" i="89"/>
  <c r="AI79" i="89"/>
  <c r="AH79" i="89"/>
  <c r="AI78" i="89"/>
  <c r="AH78" i="89"/>
  <c r="AI77" i="89"/>
  <c r="AH77" i="89"/>
  <c r="AI76" i="89"/>
  <c r="AH76" i="89"/>
  <c r="AI75" i="89"/>
  <c r="AH75" i="89"/>
  <c r="AI74" i="89"/>
  <c r="AH74" i="89"/>
  <c r="AI73" i="89"/>
  <c r="AH73" i="89"/>
  <c r="AG72" i="89"/>
  <c r="AF72" i="89"/>
  <c r="AE72" i="89"/>
  <c r="AD72" i="89"/>
  <c r="AC72" i="89"/>
  <c r="AB72" i="89"/>
  <c r="AA72" i="89"/>
  <c r="Z72" i="89"/>
  <c r="Y72" i="89"/>
  <c r="X72" i="89"/>
  <c r="W72" i="89"/>
  <c r="V72" i="89"/>
  <c r="U72" i="89"/>
  <c r="T72" i="89"/>
  <c r="S72" i="89"/>
  <c r="R72" i="89"/>
  <c r="Q72" i="89"/>
  <c r="P72" i="89"/>
  <c r="O72" i="89"/>
  <c r="N72" i="89"/>
  <c r="M72" i="89"/>
  <c r="L72" i="89"/>
  <c r="D72" i="89"/>
  <c r="C72" i="89"/>
  <c r="B72" i="89"/>
  <c r="AI71" i="89"/>
  <c r="AH71" i="89"/>
  <c r="AI70" i="89"/>
  <c r="AH70" i="89"/>
  <c r="AI69" i="89"/>
  <c r="AH69" i="89"/>
  <c r="AG68" i="89"/>
  <c r="AF68" i="89"/>
  <c r="AE68" i="89"/>
  <c r="AD68" i="89"/>
  <c r="AC68" i="89"/>
  <c r="AB68" i="89"/>
  <c r="AA68" i="89"/>
  <c r="Z68" i="89"/>
  <c r="Y68" i="89"/>
  <c r="X68" i="89"/>
  <c r="W68" i="89"/>
  <c r="V68" i="89"/>
  <c r="T68" i="89"/>
  <c r="S68" i="89"/>
  <c r="R68" i="89"/>
  <c r="Q68" i="89"/>
  <c r="P68" i="89"/>
  <c r="O68" i="89"/>
  <c r="N68" i="89"/>
  <c r="M68" i="89"/>
  <c r="L68" i="89"/>
  <c r="K68" i="89"/>
  <c r="J68" i="89"/>
  <c r="I68" i="89"/>
  <c r="H68" i="89"/>
  <c r="G68" i="89"/>
  <c r="F68" i="89"/>
  <c r="E68" i="89"/>
  <c r="D68" i="89"/>
  <c r="C68" i="89"/>
  <c r="B68" i="89"/>
  <c r="AI67" i="89"/>
  <c r="AH67" i="89"/>
  <c r="AG67" i="89"/>
  <c r="AI66" i="89"/>
  <c r="AH66" i="89"/>
  <c r="AI65" i="89"/>
  <c r="AH65" i="89"/>
  <c r="AI64" i="89"/>
  <c r="AH64" i="89"/>
  <c r="AI63" i="89"/>
  <c r="AH63" i="89"/>
  <c r="AI62" i="89"/>
  <c r="AH62" i="89"/>
  <c r="AI61" i="89"/>
  <c r="AH61" i="89"/>
  <c r="AI60" i="89"/>
  <c r="AH60" i="89"/>
  <c r="AI59" i="89"/>
  <c r="AH59" i="89"/>
  <c r="AI58" i="89"/>
  <c r="AH58" i="89"/>
  <c r="AI57" i="89"/>
  <c r="AH57" i="89"/>
  <c r="AI56" i="89"/>
  <c r="AH56" i="89"/>
  <c r="AI55" i="89"/>
  <c r="AH55" i="89"/>
  <c r="AG54" i="89"/>
  <c r="AF54" i="89"/>
  <c r="AE54" i="89"/>
  <c r="AD54" i="89"/>
  <c r="AC54" i="89"/>
  <c r="AB54" i="89"/>
  <c r="AA54" i="89"/>
  <c r="Z54" i="89"/>
  <c r="Y54" i="89"/>
  <c r="X54" i="89"/>
  <c r="W54" i="89"/>
  <c r="V54" i="89"/>
  <c r="U54" i="89"/>
  <c r="T54" i="89"/>
  <c r="S54" i="89"/>
  <c r="R54" i="89"/>
  <c r="Q54" i="89"/>
  <c r="P54" i="89"/>
  <c r="O54" i="89"/>
  <c r="N54" i="89"/>
  <c r="M54" i="89"/>
  <c r="L54" i="89"/>
  <c r="K54" i="89"/>
  <c r="J54" i="89"/>
  <c r="I54" i="89"/>
  <c r="H54" i="89"/>
  <c r="G54" i="89"/>
  <c r="F54" i="89"/>
  <c r="E54" i="89"/>
  <c r="D54" i="89"/>
  <c r="C54" i="89"/>
  <c r="B54" i="89"/>
  <c r="AI53" i="89"/>
  <c r="AH53" i="89"/>
  <c r="AI52" i="89"/>
  <c r="AH52" i="89"/>
  <c r="AI51" i="89"/>
  <c r="AH51" i="89"/>
  <c r="AG50" i="89"/>
  <c r="AF50" i="89"/>
  <c r="AE50" i="89"/>
  <c r="AD50" i="89"/>
  <c r="AC50" i="89"/>
  <c r="AC89" i="89" s="1"/>
  <c r="AC91" i="89" s="1"/>
  <c r="AB50" i="89"/>
  <c r="AB89" i="89" s="1"/>
  <c r="AB91" i="89" s="1"/>
  <c r="AA50" i="89"/>
  <c r="Z50" i="89"/>
  <c r="Y50" i="89"/>
  <c r="X50" i="89"/>
  <c r="W50" i="89"/>
  <c r="V50" i="89"/>
  <c r="U50" i="89"/>
  <c r="T50" i="89"/>
  <c r="T89" i="89" s="1"/>
  <c r="T91" i="89" s="1"/>
  <c r="S50" i="89"/>
  <c r="R50" i="89"/>
  <c r="Q50" i="89"/>
  <c r="P50" i="89"/>
  <c r="O50" i="89"/>
  <c r="N50" i="89"/>
  <c r="M50" i="89"/>
  <c r="L50" i="89"/>
  <c r="K50" i="89"/>
  <c r="J50" i="89"/>
  <c r="I50" i="89"/>
  <c r="H50" i="89"/>
  <c r="G50" i="89"/>
  <c r="F50" i="89"/>
  <c r="E50" i="89"/>
  <c r="D50" i="89"/>
  <c r="C50" i="89"/>
  <c r="B50" i="89"/>
  <c r="AH49" i="89"/>
  <c r="S49" i="89"/>
  <c r="R49" i="89"/>
  <c r="Q49" i="89"/>
  <c r="P49" i="89"/>
  <c r="O49" i="89"/>
  <c r="N49" i="89"/>
  <c r="M49" i="89"/>
  <c r="L49" i="89"/>
  <c r="K49" i="89"/>
  <c r="J49" i="89"/>
  <c r="I49" i="89"/>
  <c r="H49" i="89"/>
  <c r="G49" i="89"/>
  <c r="F49" i="89"/>
  <c r="E49" i="89"/>
  <c r="D49" i="89"/>
  <c r="C49" i="89"/>
  <c r="B49" i="89"/>
  <c r="AI48" i="89"/>
  <c r="AH48" i="89"/>
  <c r="AI47" i="89"/>
  <c r="AH47" i="89"/>
  <c r="AI46" i="89"/>
  <c r="AH46" i="89"/>
  <c r="AI45" i="89"/>
  <c r="AH45" i="89"/>
  <c r="AI44" i="89"/>
  <c r="AH44" i="89"/>
  <c r="AI43" i="89"/>
  <c r="AH43" i="89"/>
  <c r="AI42" i="89"/>
  <c r="AH42" i="89"/>
  <c r="AI41" i="89"/>
  <c r="AH41" i="89"/>
  <c r="AI40" i="89"/>
  <c r="AH40" i="89"/>
  <c r="AI39" i="89"/>
  <c r="AH39" i="89"/>
  <c r="AI38" i="89"/>
  <c r="AH38" i="89"/>
  <c r="AI37" i="89"/>
  <c r="AH37" i="89"/>
  <c r="AI36" i="89"/>
  <c r="AH36" i="89"/>
  <c r="AI35" i="89"/>
  <c r="AH35" i="89"/>
  <c r="AI34" i="89"/>
  <c r="AH34" i="89"/>
  <c r="AI33" i="89"/>
  <c r="AH33" i="89"/>
  <c r="AI32" i="89"/>
  <c r="AH32" i="89"/>
  <c r="AI31" i="89"/>
  <c r="AH31" i="89"/>
  <c r="AI30" i="89"/>
  <c r="AH30" i="89"/>
  <c r="AI29" i="89"/>
  <c r="AH29" i="89"/>
  <c r="AI28" i="89"/>
  <c r="AH28" i="89"/>
  <c r="AI27" i="89"/>
  <c r="AH27" i="89"/>
  <c r="AI26" i="89"/>
  <c r="AH26" i="89"/>
  <c r="AI25" i="89"/>
  <c r="AH25" i="89"/>
  <c r="AI24" i="89"/>
  <c r="AH24" i="89"/>
  <c r="AI23" i="89"/>
  <c r="AH23" i="89"/>
  <c r="K23" i="89"/>
  <c r="AI22" i="89"/>
  <c r="AH22" i="89"/>
  <c r="AI21" i="89"/>
  <c r="AH21" i="89"/>
  <c r="AI20" i="89"/>
  <c r="AH20" i="89"/>
  <c r="AI19" i="89"/>
  <c r="AH19" i="89"/>
  <c r="AI18" i="89"/>
  <c r="AH18" i="89"/>
  <c r="AI17" i="89"/>
  <c r="AH17" i="89"/>
  <c r="AI16" i="89"/>
  <c r="AH16" i="89"/>
  <c r="AI15" i="89"/>
  <c r="AH15" i="89"/>
  <c r="AI14" i="89"/>
  <c r="AH14" i="89"/>
  <c r="AI13" i="89"/>
  <c r="AH13" i="89"/>
  <c r="AI12" i="89"/>
  <c r="AH12" i="89"/>
  <c r="AI11" i="89"/>
  <c r="AH11" i="89"/>
  <c r="R7" i="89"/>
  <c r="Q7" i="89"/>
  <c r="P7" i="89"/>
  <c r="O7" i="89"/>
  <c r="N7" i="89"/>
  <c r="M7" i="89"/>
  <c r="L7" i="89"/>
  <c r="K7" i="89"/>
  <c r="J7" i="89"/>
  <c r="I7" i="89"/>
  <c r="H7" i="89"/>
  <c r="G7" i="89"/>
  <c r="F7" i="89"/>
  <c r="E7" i="89"/>
  <c r="D7" i="89"/>
  <c r="C7" i="89"/>
  <c r="B7" i="89"/>
  <c r="AG6" i="89"/>
  <c r="K6" i="89"/>
  <c r="AF5" i="89"/>
  <c r="AE5" i="89"/>
  <c r="AC5" i="89"/>
  <c r="AB5" i="89"/>
  <c r="X5" i="89"/>
  <c r="T5" i="89"/>
  <c r="S5" i="89"/>
  <c r="R5" i="89"/>
  <c r="Q5" i="89"/>
  <c r="P5" i="89"/>
  <c r="O5" i="89"/>
  <c r="N5" i="89"/>
  <c r="M5" i="89"/>
  <c r="L5" i="89"/>
  <c r="K5" i="89"/>
  <c r="J5" i="89"/>
  <c r="I5" i="89"/>
  <c r="H5" i="89"/>
  <c r="G5" i="89"/>
  <c r="F5" i="89"/>
  <c r="E5" i="89"/>
  <c r="D5" i="89"/>
  <c r="C5" i="89"/>
  <c r="B5" i="89"/>
  <c r="AG4" i="89"/>
  <c r="K4" i="89"/>
  <c r="E4" i="89"/>
  <c r="H4" i="89" s="1"/>
  <c r="B4" i="89"/>
  <c r="S246" i="89" s="1"/>
  <c r="AG3" i="89"/>
  <c r="AG2" i="89"/>
  <c r="AF274" i="88"/>
  <c r="AE274" i="88"/>
  <c r="AD274" i="88"/>
  <c r="AC274" i="88"/>
  <c r="AB274" i="88"/>
  <c r="AA274" i="88"/>
  <c r="Z274" i="88"/>
  <c r="Y274" i="88"/>
  <c r="X274" i="88"/>
  <c r="W274" i="88"/>
  <c r="V274" i="88"/>
  <c r="U274" i="88"/>
  <c r="T274" i="88"/>
  <c r="S274" i="88"/>
  <c r="R274" i="88"/>
  <c r="Q274" i="88"/>
  <c r="P274" i="88"/>
  <c r="O274" i="88"/>
  <c r="N274" i="88"/>
  <c r="M274" i="88"/>
  <c r="L274" i="88"/>
  <c r="K274" i="88"/>
  <c r="J274" i="88"/>
  <c r="I274" i="88"/>
  <c r="H274" i="88"/>
  <c r="G274" i="88"/>
  <c r="F274" i="88"/>
  <c r="E274" i="88"/>
  <c r="D274" i="88"/>
  <c r="C274" i="88"/>
  <c r="B274" i="88"/>
  <c r="A274" i="88"/>
  <c r="AF273" i="88"/>
  <c r="AE273" i="88"/>
  <c r="AD273" i="88"/>
  <c r="AC273" i="88"/>
  <c r="AB273" i="88"/>
  <c r="AA273" i="88"/>
  <c r="Z273" i="88"/>
  <c r="Y273" i="88"/>
  <c r="X273" i="88"/>
  <c r="W273" i="88"/>
  <c r="V273" i="88"/>
  <c r="U273" i="88"/>
  <c r="T273" i="88"/>
  <c r="S273" i="88"/>
  <c r="R273" i="88"/>
  <c r="Q273" i="88"/>
  <c r="P273" i="88"/>
  <c r="O273" i="88"/>
  <c r="N273" i="88"/>
  <c r="M273" i="88"/>
  <c r="L273" i="88"/>
  <c r="K273" i="88"/>
  <c r="J273" i="88"/>
  <c r="I273" i="88"/>
  <c r="H273" i="88"/>
  <c r="G273" i="88"/>
  <c r="F273" i="88"/>
  <c r="E273" i="88"/>
  <c r="D273" i="88"/>
  <c r="C273" i="88"/>
  <c r="B273" i="88"/>
  <c r="A273" i="88"/>
  <c r="AF272" i="88"/>
  <c r="AE272" i="88"/>
  <c r="AD272" i="88"/>
  <c r="AC272" i="88"/>
  <c r="AB272" i="88"/>
  <c r="AA272" i="88"/>
  <c r="Z272" i="88"/>
  <c r="Y272" i="88"/>
  <c r="X272" i="88"/>
  <c r="W272" i="88"/>
  <c r="V272" i="88"/>
  <c r="U272" i="88"/>
  <c r="T272" i="88"/>
  <c r="S272" i="88"/>
  <c r="R272" i="88"/>
  <c r="Q272" i="88"/>
  <c r="P272" i="88"/>
  <c r="O272" i="88"/>
  <c r="N272" i="88"/>
  <c r="M272" i="88"/>
  <c r="L272" i="88"/>
  <c r="K272" i="88"/>
  <c r="J272" i="88"/>
  <c r="I272" i="88"/>
  <c r="H272" i="88"/>
  <c r="G272" i="88"/>
  <c r="F272" i="88"/>
  <c r="E272" i="88"/>
  <c r="D272" i="88"/>
  <c r="C272" i="88"/>
  <c r="B272" i="88"/>
  <c r="A272" i="88"/>
  <c r="AF271" i="88"/>
  <c r="AE271" i="88"/>
  <c r="AD271" i="88"/>
  <c r="AC271" i="88"/>
  <c r="AB271" i="88"/>
  <c r="AA271" i="88"/>
  <c r="Z271" i="88"/>
  <c r="Y271" i="88"/>
  <c r="X271" i="88"/>
  <c r="W271" i="88"/>
  <c r="V271" i="88"/>
  <c r="U271" i="88"/>
  <c r="T271" i="88"/>
  <c r="S271" i="88"/>
  <c r="R271" i="88"/>
  <c r="Q271" i="88"/>
  <c r="P271" i="88"/>
  <c r="O271" i="88"/>
  <c r="N271" i="88"/>
  <c r="M271" i="88"/>
  <c r="L271" i="88"/>
  <c r="K271" i="88"/>
  <c r="J271" i="88"/>
  <c r="I271" i="88"/>
  <c r="H271" i="88"/>
  <c r="G271" i="88"/>
  <c r="F271" i="88"/>
  <c r="E271" i="88"/>
  <c r="D271" i="88"/>
  <c r="C271" i="88"/>
  <c r="B271" i="88"/>
  <c r="A271" i="88"/>
  <c r="AF270" i="88"/>
  <c r="AE270" i="88"/>
  <c r="AD270" i="88"/>
  <c r="AC270" i="88"/>
  <c r="AB270" i="88"/>
  <c r="AA270" i="88"/>
  <c r="Z270" i="88"/>
  <c r="Y270" i="88"/>
  <c r="X270" i="88"/>
  <c r="W270" i="88"/>
  <c r="V270" i="88"/>
  <c r="U270" i="88"/>
  <c r="T270" i="88"/>
  <c r="S270" i="88"/>
  <c r="R270" i="88"/>
  <c r="Q270" i="88"/>
  <c r="P270" i="88"/>
  <c r="O270" i="88"/>
  <c r="N270" i="88"/>
  <c r="M270" i="88"/>
  <c r="L270" i="88"/>
  <c r="K270" i="88"/>
  <c r="J270" i="88"/>
  <c r="I270" i="88"/>
  <c r="H270" i="88"/>
  <c r="G270" i="88"/>
  <c r="F270" i="88"/>
  <c r="E270" i="88"/>
  <c r="D270" i="88"/>
  <c r="C270" i="88"/>
  <c r="B270" i="88"/>
  <c r="AX249" i="88"/>
  <c r="AW249" i="88"/>
  <c r="AV249" i="88"/>
  <c r="AU249" i="88"/>
  <c r="AT249" i="88"/>
  <c r="AS249" i="88"/>
  <c r="AR249" i="88"/>
  <c r="AQ249" i="88"/>
  <c r="AP249" i="88"/>
  <c r="AO249" i="88"/>
  <c r="AN249" i="88"/>
  <c r="AM249" i="88"/>
  <c r="AL249" i="88"/>
  <c r="AK249" i="88"/>
  <c r="AJ249" i="88"/>
  <c r="AI249" i="88"/>
  <c r="AH249" i="88"/>
  <c r="AG249" i="88"/>
  <c r="AF249" i="88"/>
  <c r="AE249" i="88"/>
  <c r="AD249" i="88"/>
  <c r="AC249" i="88"/>
  <c r="AB249" i="88"/>
  <c r="AA249" i="88"/>
  <c r="Z249" i="88"/>
  <c r="Y249" i="88"/>
  <c r="X249" i="88"/>
  <c r="W249" i="88"/>
  <c r="V249" i="88"/>
  <c r="U249" i="88"/>
  <c r="T249" i="88"/>
  <c r="S245" i="88"/>
  <c r="C244" i="88"/>
  <c r="B244" i="88"/>
  <c r="AG235" i="88"/>
  <c r="AF235" i="88"/>
  <c r="AE235" i="88"/>
  <c r="AD235" i="88"/>
  <c r="AC235" i="88"/>
  <c r="AB235" i="88"/>
  <c r="AA235" i="88"/>
  <c r="Z235" i="88"/>
  <c r="Y235" i="88"/>
  <c r="X235" i="88"/>
  <c r="W235" i="88"/>
  <c r="V235" i="88"/>
  <c r="U235" i="88"/>
  <c r="T235" i="88"/>
  <c r="S235" i="88"/>
  <c r="R235" i="88"/>
  <c r="Q235" i="88"/>
  <c r="H235" i="88"/>
  <c r="G235" i="88"/>
  <c r="F235" i="88"/>
  <c r="E235" i="88"/>
  <c r="D235" i="88"/>
  <c r="C235" i="88"/>
  <c r="B235" i="88"/>
  <c r="P234" i="88"/>
  <c r="O234" i="88"/>
  <c r="N234" i="88"/>
  <c r="M234" i="88"/>
  <c r="L234" i="88"/>
  <c r="K234" i="88"/>
  <c r="J234" i="88"/>
  <c r="I234" i="88"/>
  <c r="H234" i="88"/>
  <c r="G234" i="88"/>
  <c r="F234" i="88"/>
  <c r="E234" i="88"/>
  <c r="D234" i="88"/>
  <c r="B234" i="88"/>
  <c r="P233" i="88"/>
  <c r="O233" i="88"/>
  <c r="N233" i="88"/>
  <c r="M233" i="88"/>
  <c r="L233" i="88"/>
  <c r="K233" i="88"/>
  <c r="J233" i="88"/>
  <c r="I233" i="88"/>
  <c r="H233" i="88"/>
  <c r="G233" i="88"/>
  <c r="F233" i="88"/>
  <c r="E233" i="88"/>
  <c r="D233" i="88"/>
  <c r="B233" i="88"/>
  <c r="P232" i="88"/>
  <c r="O232" i="88"/>
  <c r="N232" i="88"/>
  <c r="M232" i="88"/>
  <c r="L232" i="88"/>
  <c r="K232" i="88"/>
  <c r="J232" i="88"/>
  <c r="I232" i="88"/>
  <c r="H232" i="88"/>
  <c r="G232" i="88"/>
  <c r="F232" i="88"/>
  <c r="E232" i="88"/>
  <c r="D232" i="88"/>
  <c r="B232" i="88"/>
  <c r="H231" i="88"/>
  <c r="G231" i="88"/>
  <c r="F231" i="88"/>
  <c r="E231" i="88"/>
  <c r="D231" i="88"/>
  <c r="B231" i="88"/>
  <c r="P230" i="88"/>
  <c r="O230" i="88"/>
  <c r="N230" i="88"/>
  <c r="M230" i="88"/>
  <c r="L230" i="88"/>
  <c r="K230" i="88"/>
  <c r="J230" i="88"/>
  <c r="I230" i="88"/>
  <c r="H230" i="88"/>
  <c r="G230" i="88"/>
  <c r="F230" i="88"/>
  <c r="E230" i="88"/>
  <c r="D230" i="88"/>
  <c r="B230" i="88"/>
  <c r="P229" i="88"/>
  <c r="O229" i="88"/>
  <c r="N229" i="88"/>
  <c r="M229" i="88"/>
  <c r="L229" i="88"/>
  <c r="K229" i="88"/>
  <c r="J229" i="88"/>
  <c r="I229" i="88"/>
  <c r="H229" i="88"/>
  <c r="G229" i="88"/>
  <c r="F229" i="88"/>
  <c r="E229" i="88"/>
  <c r="D229" i="88"/>
  <c r="B229" i="88"/>
  <c r="AG227" i="88"/>
  <c r="AF227" i="88"/>
  <c r="AE227" i="88"/>
  <c r="AD227" i="88"/>
  <c r="AC227" i="88"/>
  <c r="AB227" i="88"/>
  <c r="AA227" i="88"/>
  <c r="Z227" i="88"/>
  <c r="Y227" i="88"/>
  <c r="X227" i="88"/>
  <c r="W227" i="88"/>
  <c r="V227" i="88"/>
  <c r="U227" i="88"/>
  <c r="T227" i="88"/>
  <c r="S227" i="88"/>
  <c r="R227" i="88"/>
  <c r="Q227" i="88"/>
  <c r="P227" i="88"/>
  <c r="O227" i="88"/>
  <c r="N227" i="88"/>
  <c r="M227" i="88"/>
  <c r="L227" i="88"/>
  <c r="K227" i="88"/>
  <c r="J227" i="88"/>
  <c r="I227" i="88"/>
  <c r="H227" i="88"/>
  <c r="G227" i="88"/>
  <c r="F227" i="88"/>
  <c r="E227" i="88"/>
  <c r="D227" i="88"/>
  <c r="C227" i="88"/>
  <c r="B227" i="88"/>
  <c r="AI120" i="88"/>
  <c r="AH120" i="88"/>
  <c r="AI119" i="88"/>
  <c r="AH119" i="88"/>
  <c r="AI118" i="88"/>
  <c r="AH118" i="88"/>
  <c r="AI117" i="88"/>
  <c r="AH117" i="88"/>
  <c r="AI116" i="88"/>
  <c r="AH116" i="88"/>
  <c r="AI115" i="88"/>
  <c r="AH115" i="88"/>
  <c r="AI114" i="88"/>
  <c r="AH114" i="88"/>
  <c r="AI113" i="88"/>
  <c r="AH113" i="88"/>
  <c r="AF113" i="88"/>
  <c r="AE113" i="88"/>
  <c r="AD113" i="88"/>
  <c r="AC113" i="88"/>
  <c r="Q113" i="88"/>
  <c r="P113" i="88"/>
  <c r="AI112" i="88"/>
  <c r="AH112" i="88"/>
  <c r="AI111" i="88"/>
  <c r="AH111" i="88"/>
  <c r="AI110" i="88"/>
  <c r="AH110" i="88"/>
  <c r="AF110" i="88"/>
  <c r="AE110" i="88"/>
  <c r="AC110" i="88"/>
  <c r="AB110" i="88"/>
  <c r="AA110" i="88"/>
  <c r="Z110" i="88"/>
  <c r="Y110" i="88"/>
  <c r="X110" i="88"/>
  <c r="W110" i="88"/>
  <c r="V110" i="88"/>
  <c r="U110" i="88"/>
  <c r="T110" i="88"/>
  <c r="S110" i="88"/>
  <c r="R110" i="88"/>
  <c r="Q110" i="88"/>
  <c r="O110" i="88"/>
  <c r="N110" i="88"/>
  <c r="M110" i="88"/>
  <c r="L110" i="88"/>
  <c r="K110" i="88"/>
  <c r="J110" i="88"/>
  <c r="I110" i="88"/>
  <c r="H110" i="88"/>
  <c r="G110" i="88"/>
  <c r="F110" i="88"/>
  <c r="E110" i="88"/>
  <c r="D110" i="88"/>
  <c r="C110" i="88"/>
  <c r="B110" i="88"/>
  <c r="AI109" i="88"/>
  <c r="AH109" i="88"/>
  <c r="AI108" i="88"/>
  <c r="AH108" i="88"/>
  <c r="AI107" i="88"/>
  <c r="AH107" i="88"/>
  <c r="AI106" i="88"/>
  <c r="AH106" i="88"/>
  <c r="AI105" i="88"/>
  <c r="AH105" i="88"/>
  <c r="AI104" i="88"/>
  <c r="AH104" i="88"/>
  <c r="AI103" i="88"/>
  <c r="AH103" i="88"/>
  <c r="AI102" i="88"/>
  <c r="AH102" i="88"/>
  <c r="AI101" i="88"/>
  <c r="AH101" i="88"/>
  <c r="AI100" i="88"/>
  <c r="AH100" i="88"/>
  <c r="AF100" i="88"/>
  <c r="AE100" i="88"/>
  <c r="AD100" i="88"/>
  <c r="AC100" i="88"/>
  <c r="AB100" i="88"/>
  <c r="AA100" i="88"/>
  <c r="Z100" i="88"/>
  <c r="Y100" i="88"/>
  <c r="X100" i="88"/>
  <c r="W100" i="88"/>
  <c r="V100" i="88"/>
  <c r="U100" i="88"/>
  <c r="T100" i="88"/>
  <c r="S100" i="88"/>
  <c r="R100" i="88"/>
  <c r="Q100" i="88"/>
  <c r="P100" i="88"/>
  <c r="O100" i="88"/>
  <c r="N100" i="88"/>
  <c r="M100" i="88"/>
  <c r="L100" i="88"/>
  <c r="K100" i="88"/>
  <c r="J100" i="88"/>
  <c r="I100" i="88"/>
  <c r="H100" i="88"/>
  <c r="G100" i="88"/>
  <c r="F100" i="88"/>
  <c r="E100" i="88"/>
  <c r="D100" i="88"/>
  <c r="C100" i="88"/>
  <c r="B100" i="88"/>
  <c r="AI99" i="88"/>
  <c r="AH99" i="88"/>
  <c r="AF99" i="88"/>
  <c r="AE99" i="88"/>
  <c r="AD99" i="88"/>
  <c r="AC99" i="88"/>
  <c r="AB99" i="88"/>
  <c r="AA99" i="88"/>
  <c r="Z99" i="88"/>
  <c r="Y99" i="88"/>
  <c r="X99" i="88"/>
  <c r="W99" i="88"/>
  <c r="V99" i="88"/>
  <c r="U99" i="88"/>
  <c r="T99" i="88"/>
  <c r="S99" i="88"/>
  <c r="R99" i="88"/>
  <c r="Q99" i="88"/>
  <c r="P99" i="88"/>
  <c r="O99" i="88"/>
  <c r="N99" i="88"/>
  <c r="M99" i="88"/>
  <c r="L99" i="88"/>
  <c r="K99" i="88"/>
  <c r="J99" i="88"/>
  <c r="I99" i="88"/>
  <c r="H99" i="88"/>
  <c r="G99" i="88"/>
  <c r="F99" i="88"/>
  <c r="E99" i="88"/>
  <c r="D99" i="88"/>
  <c r="C99" i="88"/>
  <c r="B99" i="88"/>
  <c r="AI98" i="88"/>
  <c r="AH98" i="88"/>
  <c r="AI97" i="88"/>
  <c r="AH97" i="88"/>
  <c r="AI96" i="88"/>
  <c r="AH96" i="88"/>
  <c r="AI95" i="88"/>
  <c r="AH95" i="88"/>
  <c r="AI94" i="88"/>
  <c r="AH94" i="88"/>
  <c r="AI93" i="88"/>
  <c r="AH93" i="88"/>
  <c r="AI92" i="88"/>
  <c r="AH92" i="88"/>
  <c r="AF92" i="88"/>
  <c r="AE92" i="88"/>
  <c r="AD92" i="88"/>
  <c r="AC92" i="88"/>
  <c r="AB92" i="88"/>
  <c r="AA92" i="88"/>
  <c r="Z92" i="88"/>
  <c r="Y92" i="88"/>
  <c r="X92" i="88"/>
  <c r="W92" i="88"/>
  <c r="V92" i="88"/>
  <c r="U92" i="88"/>
  <c r="T92" i="88"/>
  <c r="S92" i="88"/>
  <c r="R92" i="88"/>
  <c r="Q92" i="88"/>
  <c r="P92" i="88"/>
  <c r="O92" i="88"/>
  <c r="N92" i="88"/>
  <c r="M92" i="88"/>
  <c r="L92" i="88"/>
  <c r="K92" i="88"/>
  <c r="J92" i="88"/>
  <c r="I92" i="88"/>
  <c r="H92" i="88"/>
  <c r="G92" i="88"/>
  <c r="F92" i="88"/>
  <c r="E92" i="88"/>
  <c r="D92" i="88"/>
  <c r="C92" i="88"/>
  <c r="B92" i="88"/>
  <c r="AI91" i="88"/>
  <c r="AH91" i="88"/>
  <c r="AG91" i="88"/>
  <c r="AF91" i="88"/>
  <c r="AE91" i="88"/>
  <c r="AD91" i="88"/>
  <c r="AC91" i="88"/>
  <c r="AB91" i="88"/>
  <c r="AA91" i="88"/>
  <c r="Z91" i="88"/>
  <c r="Y91" i="88"/>
  <c r="X91" i="88"/>
  <c r="W91" i="88"/>
  <c r="V91" i="88"/>
  <c r="U91" i="88"/>
  <c r="T91" i="88"/>
  <c r="S91" i="88"/>
  <c r="R91" i="88"/>
  <c r="Q91" i="88"/>
  <c r="P91" i="88"/>
  <c r="O91" i="88"/>
  <c r="N91" i="88"/>
  <c r="M91" i="88"/>
  <c r="L91" i="88"/>
  <c r="K91" i="88"/>
  <c r="J91" i="88"/>
  <c r="I91" i="88"/>
  <c r="H91" i="88"/>
  <c r="G91" i="88"/>
  <c r="F91" i="88"/>
  <c r="E91" i="88"/>
  <c r="D91" i="88"/>
  <c r="C91" i="88"/>
  <c r="B91" i="88"/>
  <c r="AI90" i="88"/>
  <c r="AH90" i="88"/>
  <c r="AI89" i="88"/>
  <c r="AH89" i="88"/>
  <c r="AG89" i="88"/>
  <c r="AF89" i="88"/>
  <c r="AE89" i="88"/>
  <c r="AD89" i="88"/>
  <c r="AC89" i="88"/>
  <c r="AB89" i="88"/>
  <c r="AA89" i="88"/>
  <c r="Z89" i="88"/>
  <c r="Y89" i="88"/>
  <c r="X89" i="88"/>
  <c r="W89" i="88"/>
  <c r="V89" i="88"/>
  <c r="U89" i="88"/>
  <c r="T89" i="88"/>
  <c r="S89" i="88"/>
  <c r="R89" i="88"/>
  <c r="Q89" i="88"/>
  <c r="P89" i="88"/>
  <c r="O89" i="88"/>
  <c r="N89" i="88"/>
  <c r="M89" i="88"/>
  <c r="L89" i="88"/>
  <c r="K89" i="88"/>
  <c r="J89" i="88"/>
  <c r="I89" i="88"/>
  <c r="H89" i="88"/>
  <c r="G89" i="88"/>
  <c r="F89" i="88"/>
  <c r="E89" i="88"/>
  <c r="D89" i="88"/>
  <c r="C89" i="88"/>
  <c r="B89" i="88"/>
  <c r="AI88" i="88"/>
  <c r="AH88" i="88"/>
  <c r="AG88" i="88"/>
  <c r="AI87" i="88"/>
  <c r="AH87" i="88"/>
  <c r="AI86" i="88"/>
  <c r="AH86" i="88"/>
  <c r="AI85" i="88"/>
  <c r="AH85" i="88"/>
  <c r="AI84" i="88"/>
  <c r="AH84" i="88"/>
  <c r="AG84" i="88"/>
  <c r="AF84" i="88"/>
  <c r="AE84" i="88"/>
  <c r="AD84" i="88"/>
  <c r="AC84" i="88"/>
  <c r="AB84" i="88"/>
  <c r="AA84" i="88"/>
  <c r="Z84" i="88"/>
  <c r="Y84" i="88"/>
  <c r="X84" i="88"/>
  <c r="W84" i="88"/>
  <c r="V84" i="88"/>
  <c r="U84" i="88"/>
  <c r="T84" i="88"/>
  <c r="S84" i="88"/>
  <c r="R84" i="88"/>
  <c r="Q84" i="88"/>
  <c r="P84" i="88"/>
  <c r="O84" i="88"/>
  <c r="N84" i="88"/>
  <c r="M84" i="88"/>
  <c r="L84" i="88"/>
  <c r="K84" i="88"/>
  <c r="J84" i="88"/>
  <c r="I84" i="88"/>
  <c r="H84" i="88"/>
  <c r="G84" i="88"/>
  <c r="F84" i="88"/>
  <c r="E84" i="88"/>
  <c r="D84" i="88"/>
  <c r="C84" i="88"/>
  <c r="B84" i="88"/>
  <c r="AI83" i="88"/>
  <c r="AH83" i="88"/>
  <c r="AI82" i="88"/>
  <c r="AH82" i="88"/>
  <c r="AI81" i="88"/>
  <c r="AH81" i="88"/>
  <c r="AI80" i="88"/>
  <c r="AH80" i="88"/>
  <c r="AI79" i="88"/>
  <c r="AH79" i="88"/>
  <c r="AI78" i="88"/>
  <c r="AH78" i="88"/>
  <c r="AI77" i="88"/>
  <c r="AH77" i="88"/>
  <c r="AI76" i="88"/>
  <c r="AH76" i="88"/>
  <c r="AI75" i="88"/>
  <c r="AH75" i="88"/>
  <c r="AI74" i="88"/>
  <c r="AH74" i="88"/>
  <c r="AI73" i="88"/>
  <c r="AH73" i="88"/>
  <c r="AI72" i="88"/>
  <c r="AH72" i="88"/>
  <c r="AG72" i="88"/>
  <c r="AF72" i="88"/>
  <c r="AE72" i="88"/>
  <c r="AD72" i="88"/>
  <c r="AC72" i="88"/>
  <c r="AB72" i="88"/>
  <c r="AA72" i="88"/>
  <c r="Z72" i="88"/>
  <c r="Y72" i="88"/>
  <c r="X72" i="88"/>
  <c r="W72" i="88"/>
  <c r="V72" i="88"/>
  <c r="U72" i="88"/>
  <c r="T72" i="88"/>
  <c r="S72" i="88"/>
  <c r="R72" i="88"/>
  <c r="Q72" i="88"/>
  <c r="P72" i="88"/>
  <c r="O72" i="88"/>
  <c r="N72" i="88"/>
  <c r="M72" i="88"/>
  <c r="B72" i="88"/>
  <c r="AI71" i="88"/>
  <c r="AH71" i="88"/>
  <c r="AI70" i="88"/>
  <c r="AH70" i="88"/>
  <c r="AI69" i="88"/>
  <c r="AH69" i="88"/>
  <c r="AI68" i="88"/>
  <c r="AH68" i="88"/>
  <c r="AG68" i="88"/>
  <c r="AF68" i="88"/>
  <c r="AE68" i="88"/>
  <c r="AD68" i="88"/>
  <c r="AC68" i="88"/>
  <c r="AB68" i="88"/>
  <c r="AA68" i="88"/>
  <c r="Z68" i="88"/>
  <c r="Y68" i="88"/>
  <c r="X68" i="88"/>
  <c r="W68" i="88"/>
  <c r="V68" i="88"/>
  <c r="U68" i="88"/>
  <c r="T68" i="88"/>
  <c r="S68" i="88"/>
  <c r="R68" i="88"/>
  <c r="Q68" i="88"/>
  <c r="P68" i="88"/>
  <c r="O68" i="88"/>
  <c r="N68" i="88"/>
  <c r="M68" i="88"/>
  <c r="L68" i="88"/>
  <c r="K68" i="88"/>
  <c r="J68" i="88"/>
  <c r="I68" i="88"/>
  <c r="H68" i="88"/>
  <c r="G68" i="88"/>
  <c r="F68" i="88"/>
  <c r="E68" i="88"/>
  <c r="D68" i="88"/>
  <c r="C68" i="88"/>
  <c r="B68" i="88"/>
  <c r="AI67" i="88"/>
  <c r="AH67" i="88"/>
  <c r="AG67" i="88"/>
  <c r="AI66" i="88"/>
  <c r="AH66" i="88"/>
  <c r="AI65" i="88"/>
  <c r="AH65" i="88"/>
  <c r="AI64" i="88"/>
  <c r="AH64" i="88"/>
  <c r="AI63" i="88"/>
  <c r="AH63" i="88"/>
  <c r="AI62" i="88"/>
  <c r="AH62" i="88"/>
  <c r="AI61" i="88"/>
  <c r="AH61" i="88"/>
  <c r="AI60" i="88"/>
  <c r="AH60" i="88"/>
  <c r="AI59" i="88"/>
  <c r="AH59" i="88"/>
  <c r="AI58" i="88"/>
  <c r="AH58" i="88"/>
  <c r="AI57" i="88"/>
  <c r="AH57" i="88"/>
  <c r="AI56" i="88"/>
  <c r="AH56" i="88"/>
  <c r="AI55" i="88"/>
  <c r="AH55" i="88"/>
  <c r="AI54" i="88"/>
  <c r="AH54" i="88"/>
  <c r="AG54" i="88"/>
  <c r="AF54" i="88"/>
  <c r="AE54" i="88"/>
  <c r="AD54" i="88"/>
  <c r="AC54" i="88"/>
  <c r="AB54" i="88"/>
  <c r="AA54" i="88"/>
  <c r="Z54" i="88"/>
  <c r="Y54" i="88"/>
  <c r="X54" i="88"/>
  <c r="W54" i="88"/>
  <c r="V54" i="88"/>
  <c r="U54" i="88"/>
  <c r="T54" i="88"/>
  <c r="S54" i="88"/>
  <c r="R54" i="88"/>
  <c r="Q54" i="88"/>
  <c r="P54" i="88"/>
  <c r="O54" i="88"/>
  <c r="N54" i="88"/>
  <c r="M54" i="88"/>
  <c r="L54" i="88"/>
  <c r="K54" i="88"/>
  <c r="J54" i="88"/>
  <c r="I54" i="88"/>
  <c r="H54" i="88"/>
  <c r="G54" i="88"/>
  <c r="F54" i="88"/>
  <c r="E54" i="88"/>
  <c r="D54" i="88"/>
  <c r="C54" i="88"/>
  <c r="B54" i="88"/>
  <c r="AI53" i="88"/>
  <c r="AH53" i="88"/>
  <c r="AI52" i="88"/>
  <c r="AH52" i="88"/>
  <c r="AI51" i="88"/>
  <c r="AH51" i="88"/>
  <c r="AI50" i="88"/>
  <c r="AH50" i="88"/>
  <c r="AG50" i="88"/>
  <c r="AF50" i="88"/>
  <c r="AE50" i="88"/>
  <c r="AD50" i="88"/>
  <c r="AC50" i="88"/>
  <c r="AB50" i="88"/>
  <c r="AA50" i="88"/>
  <c r="Z50" i="88"/>
  <c r="Y50" i="88"/>
  <c r="X50" i="88"/>
  <c r="W50" i="88"/>
  <c r="V50" i="88"/>
  <c r="U50" i="88"/>
  <c r="T50" i="88"/>
  <c r="S50" i="88"/>
  <c r="R50" i="88"/>
  <c r="Q50" i="88"/>
  <c r="P50" i="88"/>
  <c r="O50" i="88"/>
  <c r="N50" i="88"/>
  <c r="M50" i="88"/>
  <c r="L50" i="88"/>
  <c r="K50" i="88"/>
  <c r="J50" i="88"/>
  <c r="I50" i="88"/>
  <c r="H50" i="88"/>
  <c r="G50" i="88"/>
  <c r="F50" i="88"/>
  <c r="E50" i="88"/>
  <c r="D50" i="88"/>
  <c r="C50" i="88"/>
  <c r="B50" i="88"/>
  <c r="AI49" i="88"/>
  <c r="AH49" i="88"/>
  <c r="AF49" i="88"/>
  <c r="AE49" i="88"/>
  <c r="AD49" i="88"/>
  <c r="AC49" i="88"/>
  <c r="R49" i="88"/>
  <c r="Q49" i="88"/>
  <c r="P49" i="88"/>
  <c r="O49" i="88"/>
  <c r="N49" i="88"/>
  <c r="M49" i="88"/>
  <c r="AI48" i="88"/>
  <c r="AH48" i="88"/>
  <c r="AI47" i="88"/>
  <c r="AH47" i="88"/>
  <c r="AI46" i="88"/>
  <c r="AH46" i="88"/>
  <c r="AI45" i="88"/>
  <c r="AH45" i="88"/>
  <c r="AI44" i="88"/>
  <c r="AH44" i="88"/>
  <c r="AI43" i="88"/>
  <c r="AH43" i="88"/>
  <c r="AI42" i="88"/>
  <c r="AH42" i="88"/>
  <c r="AI41" i="88"/>
  <c r="AH41" i="88"/>
  <c r="AI40" i="88"/>
  <c r="AH40" i="88"/>
  <c r="AI39" i="88"/>
  <c r="AH39" i="88"/>
  <c r="AI38" i="88"/>
  <c r="AH38" i="88"/>
  <c r="AI37" i="88"/>
  <c r="AH37" i="88"/>
  <c r="AI36" i="88"/>
  <c r="AH36" i="88"/>
  <c r="AI35" i="88"/>
  <c r="AH35" i="88"/>
  <c r="AI34" i="88"/>
  <c r="AH34" i="88"/>
  <c r="AI33" i="88"/>
  <c r="AH33" i="88"/>
  <c r="AI32" i="88"/>
  <c r="AH32" i="88"/>
  <c r="AI31" i="88"/>
  <c r="AH31" i="88"/>
  <c r="AI30" i="88"/>
  <c r="AH30" i="88"/>
  <c r="AI29" i="88"/>
  <c r="AH29" i="88"/>
  <c r="AI28" i="88"/>
  <c r="AH28" i="88"/>
  <c r="AI27" i="88"/>
  <c r="AH27" i="88"/>
  <c r="AC27" i="88"/>
  <c r="AI26" i="88"/>
  <c r="AH26" i="88"/>
  <c r="AI25" i="88"/>
  <c r="AH25" i="88"/>
  <c r="AI24" i="88"/>
  <c r="AH24" i="88"/>
  <c r="AI23" i="88"/>
  <c r="AH23" i="88"/>
  <c r="AI22" i="88"/>
  <c r="AH22" i="88"/>
  <c r="AI21" i="88"/>
  <c r="AH21" i="88"/>
  <c r="AI20" i="88"/>
  <c r="AH20" i="88"/>
  <c r="AI19" i="88"/>
  <c r="AH19" i="88"/>
  <c r="AI18" i="88"/>
  <c r="AH18" i="88"/>
  <c r="AI17" i="88"/>
  <c r="AH17" i="88"/>
  <c r="AI16" i="88"/>
  <c r="AH16" i="88"/>
  <c r="AI15" i="88"/>
  <c r="AH15" i="88"/>
  <c r="AI14" i="88"/>
  <c r="AH14" i="88"/>
  <c r="AI13" i="88"/>
  <c r="AH13" i="88"/>
  <c r="AI12" i="88"/>
  <c r="AH12" i="88"/>
  <c r="AI11" i="88"/>
  <c r="AH11" i="88"/>
  <c r="AF7" i="88"/>
  <c r="AE7" i="88"/>
  <c r="AD7" i="88"/>
  <c r="AC7" i="88"/>
  <c r="AB7" i="88"/>
  <c r="AA7" i="88"/>
  <c r="Z7" i="88"/>
  <c r="Y7" i="88"/>
  <c r="X7" i="88"/>
  <c r="W7" i="88"/>
  <c r="V7" i="88"/>
  <c r="U7" i="88"/>
  <c r="T7" i="88"/>
  <c r="S7" i="88"/>
  <c r="R7" i="88"/>
  <c r="Q7" i="88"/>
  <c r="P7" i="88"/>
  <c r="O7" i="88"/>
  <c r="N7" i="88"/>
  <c r="M7" i="88"/>
  <c r="L7" i="88"/>
  <c r="K7" i="88"/>
  <c r="J7" i="88"/>
  <c r="I7" i="88"/>
  <c r="H7" i="88"/>
  <c r="G7" i="88"/>
  <c r="F7" i="88"/>
  <c r="E7" i="88"/>
  <c r="D7" i="88"/>
  <c r="C7" i="88"/>
  <c r="B7" i="88"/>
  <c r="A7" i="88"/>
  <c r="AG6" i="88"/>
  <c r="K6" i="88"/>
  <c r="AF5" i="88"/>
  <c r="AE5" i="88"/>
  <c r="AD5" i="88"/>
  <c r="AC5" i="88"/>
  <c r="AB5" i="88"/>
  <c r="AA5" i="88"/>
  <c r="Z5" i="88"/>
  <c r="Y5" i="88"/>
  <c r="X5" i="88"/>
  <c r="W5" i="88"/>
  <c r="V5" i="88"/>
  <c r="U5" i="88"/>
  <c r="T5" i="88"/>
  <c r="S5" i="88"/>
  <c r="R5" i="88"/>
  <c r="Q5" i="88"/>
  <c r="P5" i="88"/>
  <c r="O5" i="88"/>
  <c r="N5" i="88"/>
  <c r="M5" i="88"/>
  <c r="L5" i="88"/>
  <c r="K5" i="88"/>
  <c r="J5" i="88"/>
  <c r="I5" i="88"/>
  <c r="H5" i="88"/>
  <c r="G5" i="88"/>
  <c r="F5" i="88"/>
  <c r="E5" i="88"/>
  <c r="D5" i="88"/>
  <c r="C5" i="88"/>
  <c r="B5" i="88"/>
  <c r="AG4" i="88"/>
  <c r="K4" i="88"/>
  <c r="E4" i="88"/>
  <c r="H4" i="88" s="1"/>
  <c r="B4" i="88"/>
  <c r="D246" i="88" s="1"/>
  <c r="AG3" i="88"/>
  <c r="AG2" i="88"/>
  <c r="AF274" i="86"/>
  <c r="AE274" i="86"/>
  <c r="AD274" i="86"/>
  <c r="AC274" i="86"/>
  <c r="AB274" i="86"/>
  <c r="AA274" i="86"/>
  <c r="Z274" i="86"/>
  <c r="Y274" i="86"/>
  <c r="X274" i="86"/>
  <c r="W274" i="86"/>
  <c r="V274" i="86"/>
  <c r="U274" i="86"/>
  <c r="T274" i="86"/>
  <c r="S274" i="86"/>
  <c r="R274" i="86"/>
  <c r="Q274" i="86"/>
  <c r="P274" i="86"/>
  <c r="O274" i="86"/>
  <c r="N274" i="86"/>
  <c r="M274" i="86"/>
  <c r="L274" i="86"/>
  <c r="K274" i="86"/>
  <c r="J274" i="86"/>
  <c r="I274" i="86"/>
  <c r="H274" i="86"/>
  <c r="G274" i="86"/>
  <c r="F274" i="86"/>
  <c r="E274" i="86"/>
  <c r="D274" i="86"/>
  <c r="C274" i="86"/>
  <c r="B274" i="86"/>
  <c r="A274" i="86"/>
  <c r="AF273" i="86"/>
  <c r="AE273" i="86"/>
  <c r="AD273" i="86"/>
  <c r="AC273" i="86"/>
  <c r="AB273" i="86"/>
  <c r="AA273" i="86"/>
  <c r="Z273" i="86"/>
  <c r="Y273" i="86"/>
  <c r="X273" i="86"/>
  <c r="W273" i="86"/>
  <c r="V273" i="86"/>
  <c r="U273" i="86"/>
  <c r="T273" i="86"/>
  <c r="S273" i="86"/>
  <c r="R273" i="86"/>
  <c r="Q273" i="86"/>
  <c r="P273" i="86"/>
  <c r="O273" i="86"/>
  <c r="N273" i="86"/>
  <c r="M273" i="86"/>
  <c r="L273" i="86"/>
  <c r="K273" i="86"/>
  <c r="J273" i="86"/>
  <c r="I273" i="86"/>
  <c r="H273" i="86"/>
  <c r="G273" i="86"/>
  <c r="F273" i="86"/>
  <c r="E273" i="86"/>
  <c r="D273" i="86"/>
  <c r="C273" i="86"/>
  <c r="B273" i="86"/>
  <c r="A273" i="86"/>
  <c r="AF272" i="86"/>
  <c r="AE272" i="86"/>
  <c r="AD272" i="86"/>
  <c r="AC272" i="86"/>
  <c r="AB272" i="86"/>
  <c r="AA272" i="86"/>
  <c r="Z272" i="86"/>
  <c r="Y272" i="86"/>
  <c r="X272" i="86"/>
  <c r="W272" i="86"/>
  <c r="V272" i="86"/>
  <c r="U272" i="86"/>
  <c r="T272" i="86"/>
  <c r="S272" i="86"/>
  <c r="R272" i="86"/>
  <c r="Q272" i="86"/>
  <c r="P272" i="86"/>
  <c r="O272" i="86"/>
  <c r="N272" i="86"/>
  <c r="M272" i="86"/>
  <c r="L272" i="86"/>
  <c r="K272" i="86"/>
  <c r="J272" i="86"/>
  <c r="I272" i="86"/>
  <c r="H272" i="86"/>
  <c r="G272" i="86"/>
  <c r="F272" i="86"/>
  <c r="E272" i="86"/>
  <c r="D272" i="86"/>
  <c r="C272" i="86"/>
  <c r="B272" i="86"/>
  <c r="A272" i="86"/>
  <c r="AF271" i="86"/>
  <c r="AE271" i="86"/>
  <c r="AD271" i="86"/>
  <c r="AC271" i="86"/>
  <c r="AB271" i="86"/>
  <c r="AA271" i="86"/>
  <c r="Z271" i="86"/>
  <c r="Y271" i="86"/>
  <c r="X271" i="86"/>
  <c r="W271" i="86"/>
  <c r="V271" i="86"/>
  <c r="U271" i="86"/>
  <c r="T271" i="86"/>
  <c r="S271" i="86"/>
  <c r="R271" i="86"/>
  <c r="Q271" i="86"/>
  <c r="P271" i="86"/>
  <c r="O271" i="86"/>
  <c r="N271" i="86"/>
  <c r="M271" i="86"/>
  <c r="L271" i="86"/>
  <c r="K271" i="86"/>
  <c r="J271" i="86"/>
  <c r="I271" i="86"/>
  <c r="H271" i="86"/>
  <c r="G271" i="86"/>
  <c r="F271" i="86"/>
  <c r="E271" i="86"/>
  <c r="D271" i="86"/>
  <c r="C271" i="86"/>
  <c r="B271" i="86"/>
  <c r="A271" i="86"/>
  <c r="AF270" i="86"/>
  <c r="AE270" i="86"/>
  <c r="AD270" i="86"/>
  <c r="AC270" i="86"/>
  <c r="AB270" i="86"/>
  <c r="AA270" i="86"/>
  <c r="Z270" i="86"/>
  <c r="Y270" i="86"/>
  <c r="X270" i="86"/>
  <c r="W270" i="86"/>
  <c r="V270" i="86"/>
  <c r="U270" i="86"/>
  <c r="T270" i="86"/>
  <c r="S270" i="86"/>
  <c r="R270" i="86"/>
  <c r="Q270" i="86"/>
  <c r="P270" i="86"/>
  <c r="O270" i="86"/>
  <c r="N270" i="86"/>
  <c r="M270" i="86"/>
  <c r="L270" i="86"/>
  <c r="K270" i="86"/>
  <c r="J270" i="86"/>
  <c r="I270" i="86"/>
  <c r="H270" i="86"/>
  <c r="G270" i="86"/>
  <c r="F270" i="86"/>
  <c r="E270" i="86"/>
  <c r="D270" i="86"/>
  <c r="C270" i="86"/>
  <c r="B270" i="86"/>
  <c r="AX249" i="86"/>
  <c r="AW249" i="86"/>
  <c r="AV249" i="86"/>
  <c r="AU249" i="86"/>
  <c r="AT249" i="86"/>
  <c r="AS249" i="86"/>
  <c r="AR249" i="86"/>
  <c r="AQ249" i="86"/>
  <c r="AP249" i="86"/>
  <c r="AO249" i="86"/>
  <c r="AN249" i="86"/>
  <c r="AM249" i="86"/>
  <c r="AL249" i="86"/>
  <c r="AK249" i="86"/>
  <c r="AJ249" i="86"/>
  <c r="AI249" i="86"/>
  <c r="AH249" i="86"/>
  <c r="AG249" i="86"/>
  <c r="AF249" i="86"/>
  <c r="AE249" i="86"/>
  <c r="AD249" i="86"/>
  <c r="AC249" i="86"/>
  <c r="AB249" i="86"/>
  <c r="AA249" i="86"/>
  <c r="Z249" i="86"/>
  <c r="Y249" i="86"/>
  <c r="X249" i="86"/>
  <c r="W249" i="86"/>
  <c r="V249" i="86"/>
  <c r="U249" i="86"/>
  <c r="T249" i="86"/>
  <c r="S245" i="86"/>
  <c r="C244" i="86"/>
  <c r="B244" i="86"/>
  <c r="AG235" i="86"/>
  <c r="AF235" i="86"/>
  <c r="AE235" i="86"/>
  <c r="AD235" i="86"/>
  <c r="AC235" i="86"/>
  <c r="AB235" i="86"/>
  <c r="AA235" i="86"/>
  <c r="Z235" i="86"/>
  <c r="Y235" i="86"/>
  <c r="X235" i="86"/>
  <c r="W235" i="86"/>
  <c r="V235" i="86"/>
  <c r="U235" i="86"/>
  <c r="T235" i="86"/>
  <c r="S235" i="86"/>
  <c r="R235" i="86"/>
  <c r="Q235" i="86"/>
  <c r="H235" i="86"/>
  <c r="G235" i="86"/>
  <c r="F235" i="86"/>
  <c r="E235" i="86"/>
  <c r="D235" i="86"/>
  <c r="C235" i="86"/>
  <c r="B235" i="86"/>
  <c r="P234" i="86"/>
  <c r="O234" i="86"/>
  <c r="N234" i="86"/>
  <c r="M234" i="86"/>
  <c r="L234" i="86"/>
  <c r="K234" i="86"/>
  <c r="J234" i="86"/>
  <c r="I234" i="86"/>
  <c r="H234" i="86"/>
  <c r="G234" i="86"/>
  <c r="F234" i="86"/>
  <c r="E234" i="86"/>
  <c r="D234" i="86"/>
  <c r="B234" i="86"/>
  <c r="P233" i="86"/>
  <c r="O233" i="86"/>
  <c r="N233" i="86"/>
  <c r="M233" i="86"/>
  <c r="L233" i="86"/>
  <c r="K233" i="86"/>
  <c r="J233" i="86"/>
  <c r="I233" i="86"/>
  <c r="H233" i="86"/>
  <c r="G233" i="86"/>
  <c r="F233" i="86"/>
  <c r="E233" i="86"/>
  <c r="D233" i="86"/>
  <c r="B233" i="86"/>
  <c r="P232" i="86"/>
  <c r="O232" i="86"/>
  <c r="N232" i="86"/>
  <c r="M232" i="86"/>
  <c r="L232" i="86"/>
  <c r="K232" i="86"/>
  <c r="J232" i="86"/>
  <c r="I232" i="86"/>
  <c r="H232" i="86"/>
  <c r="G232" i="86"/>
  <c r="F232" i="86"/>
  <c r="E232" i="86"/>
  <c r="D232" i="86"/>
  <c r="B232" i="86"/>
  <c r="H231" i="86"/>
  <c r="G231" i="86"/>
  <c r="F231" i="86"/>
  <c r="E231" i="86"/>
  <c r="D231" i="86"/>
  <c r="B231" i="86"/>
  <c r="P230" i="86"/>
  <c r="O230" i="86"/>
  <c r="N230" i="86"/>
  <c r="M230" i="86"/>
  <c r="L230" i="86"/>
  <c r="K230" i="86"/>
  <c r="J230" i="86"/>
  <c r="I230" i="86"/>
  <c r="H230" i="86"/>
  <c r="G230" i="86"/>
  <c r="F230" i="86"/>
  <c r="E230" i="86"/>
  <c r="D230" i="86"/>
  <c r="B230" i="86"/>
  <c r="P229" i="86"/>
  <c r="O229" i="86"/>
  <c r="N229" i="86"/>
  <c r="M229" i="86"/>
  <c r="L229" i="86"/>
  <c r="K229" i="86"/>
  <c r="J229" i="86"/>
  <c r="I229" i="86"/>
  <c r="H229" i="86"/>
  <c r="G229" i="86"/>
  <c r="F229" i="86"/>
  <c r="E229" i="86"/>
  <c r="D229" i="86"/>
  <c r="B229" i="86"/>
  <c r="AG227" i="86"/>
  <c r="AF227" i="86"/>
  <c r="AE227" i="86"/>
  <c r="AD227" i="86"/>
  <c r="AC227" i="86"/>
  <c r="AB227" i="86"/>
  <c r="AA227" i="86"/>
  <c r="Z227" i="86"/>
  <c r="Y227" i="86"/>
  <c r="X227" i="86"/>
  <c r="W227" i="86"/>
  <c r="V227" i="86"/>
  <c r="U227" i="86"/>
  <c r="T227" i="86"/>
  <c r="S227" i="86"/>
  <c r="R227" i="86"/>
  <c r="Q227" i="86"/>
  <c r="P227" i="86"/>
  <c r="O227" i="86"/>
  <c r="N227" i="86"/>
  <c r="M227" i="86"/>
  <c r="L227" i="86"/>
  <c r="K227" i="86"/>
  <c r="J227" i="86"/>
  <c r="I227" i="86"/>
  <c r="H227" i="86"/>
  <c r="G227" i="86"/>
  <c r="F227" i="86"/>
  <c r="E227" i="86"/>
  <c r="D227" i="86"/>
  <c r="C227" i="86"/>
  <c r="B227" i="86"/>
  <c r="AI120" i="86"/>
  <c r="AH120" i="86"/>
  <c r="AI119" i="86"/>
  <c r="AH119" i="86"/>
  <c r="AI118" i="86"/>
  <c r="AH118" i="86"/>
  <c r="AI117" i="86"/>
  <c r="AH117" i="86"/>
  <c r="AI116" i="86"/>
  <c r="AH116" i="86"/>
  <c r="AI115" i="86"/>
  <c r="AH115" i="86"/>
  <c r="AI114" i="86"/>
  <c r="AH114" i="86"/>
  <c r="AI113" i="86"/>
  <c r="AH113" i="86"/>
  <c r="R113" i="86"/>
  <c r="Q113" i="86"/>
  <c r="P113" i="86"/>
  <c r="O113" i="86"/>
  <c r="N113" i="86"/>
  <c r="M113" i="86"/>
  <c r="L113" i="86"/>
  <c r="K113" i="86"/>
  <c r="J113" i="86"/>
  <c r="H113" i="86"/>
  <c r="G113" i="86"/>
  <c r="AI112" i="86"/>
  <c r="AH112" i="86"/>
  <c r="AI111" i="86"/>
  <c r="AH111" i="86"/>
  <c r="AI110" i="86"/>
  <c r="AH110" i="86"/>
  <c r="AF110" i="86"/>
  <c r="AE110" i="86"/>
  <c r="AD110" i="86"/>
  <c r="AC110" i="86"/>
  <c r="AB110" i="86"/>
  <c r="AA110" i="86"/>
  <c r="Z110" i="86"/>
  <c r="Y110" i="86"/>
  <c r="X110" i="86"/>
  <c r="W110" i="86"/>
  <c r="V110" i="86"/>
  <c r="U110" i="86"/>
  <c r="T110" i="86"/>
  <c r="S110" i="86"/>
  <c r="R110" i="86"/>
  <c r="Q110" i="86"/>
  <c r="O110" i="86"/>
  <c r="N110" i="86"/>
  <c r="M110" i="86"/>
  <c r="L110" i="86"/>
  <c r="K110" i="86"/>
  <c r="J110" i="86"/>
  <c r="I110" i="86"/>
  <c r="H110" i="86"/>
  <c r="G110" i="86"/>
  <c r="F110" i="86"/>
  <c r="E110" i="86"/>
  <c r="D110" i="86"/>
  <c r="C110" i="86"/>
  <c r="B110" i="86"/>
  <c r="AI109" i="86"/>
  <c r="AH109" i="86"/>
  <c r="AI108" i="86"/>
  <c r="AH108" i="86"/>
  <c r="AI107" i="86"/>
  <c r="AH107" i="86"/>
  <c r="AI106" i="86"/>
  <c r="AH106" i="86"/>
  <c r="AI105" i="86"/>
  <c r="AH105" i="86"/>
  <c r="AI104" i="86"/>
  <c r="AH104" i="86"/>
  <c r="AI103" i="86"/>
  <c r="AH103" i="86"/>
  <c r="AI102" i="86"/>
  <c r="AH102" i="86"/>
  <c r="AI101" i="86"/>
  <c r="AH101" i="86"/>
  <c r="AI100" i="86"/>
  <c r="AH100" i="86"/>
  <c r="AF100" i="86"/>
  <c r="AE100" i="86"/>
  <c r="AD100" i="86"/>
  <c r="AC100" i="86"/>
  <c r="AB100" i="86"/>
  <c r="AA100" i="86"/>
  <c r="Z100" i="86"/>
  <c r="Y100" i="86"/>
  <c r="X100" i="86"/>
  <c r="W100" i="86"/>
  <c r="V100" i="86"/>
  <c r="U100" i="86"/>
  <c r="T100" i="86"/>
  <c r="S100" i="86"/>
  <c r="R100" i="86"/>
  <c r="Q100" i="86"/>
  <c r="P100" i="86"/>
  <c r="O100" i="86"/>
  <c r="N100" i="86"/>
  <c r="M100" i="86"/>
  <c r="L100" i="86"/>
  <c r="K100" i="86"/>
  <c r="J100" i="86"/>
  <c r="I100" i="86"/>
  <c r="H100" i="86"/>
  <c r="G100" i="86"/>
  <c r="F100" i="86"/>
  <c r="E100" i="86"/>
  <c r="D100" i="86"/>
  <c r="C100" i="86"/>
  <c r="B100" i="86"/>
  <c r="AI99" i="86"/>
  <c r="AH99" i="86"/>
  <c r="AF99" i="86"/>
  <c r="AE99" i="86"/>
  <c r="AD99" i="86"/>
  <c r="AC99" i="86"/>
  <c r="AB99" i="86"/>
  <c r="AA99" i="86"/>
  <c r="Z99" i="86"/>
  <c r="Y99" i="86"/>
  <c r="X99" i="86"/>
  <c r="W99" i="86"/>
  <c r="V99" i="86"/>
  <c r="U99" i="86"/>
  <c r="T99" i="86"/>
  <c r="S99" i="86"/>
  <c r="R99" i="86"/>
  <c r="Q99" i="86"/>
  <c r="P99" i="86"/>
  <c r="O99" i="86"/>
  <c r="N99" i="86"/>
  <c r="M99" i="86"/>
  <c r="L99" i="86"/>
  <c r="K99" i="86"/>
  <c r="J99" i="86"/>
  <c r="I99" i="86"/>
  <c r="H99" i="86"/>
  <c r="G99" i="86"/>
  <c r="F99" i="86"/>
  <c r="E99" i="86"/>
  <c r="D99" i="86"/>
  <c r="C99" i="86"/>
  <c r="B99" i="86"/>
  <c r="AI98" i="86"/>
  <c r="AH98" i="86"/>
  <c r="AI97" i="86"/>
  <c r="AH97" i="86"/>
  <c r="AI96" i="86"/>
  <c r="AH96" i="86"/>
  <c r="AI95" i="86"/>
  <c r="AH95" i="86"/>
  <c r="AI94" i="86"/>
  <c r="AH94" i="86"/>
  <c r="AI93" i="86"/>
  <c r="AH93" i="86"/>
  <c r="AI92" i="86"/>
  <c r="AH92" i="86"/>
  <c r="AF92" i="86"/>
  <c r="AE92" i="86"/>
  <c r="AD92" i="86"/>
  <c r="AC92" i="86"/>
  <c r="AB92" i="86"/>
  <c r="AA92" i="86"/>
  <c r="Z92" i="86"/>
  <c r="Y92" i="86"/>
  <c r="X92" i="86"/>
  <c r="W92" i="86"/>
  <c r="V92" i="86"/>
  <c r="U92" i="86"/>
  <c r="T92" i="86"/>
  <c r="S92" i="86"/>
  <c r="R92" i="86"/>
  <c r="Q92" i="86"/>
  <c r="P92" i="86"/>
  <c r="O92" i="86"/>
  <c r="N92" i="86"/>
  <c r="M92" i="86"/>
  <c r="L92" i="86"/>
  <c r="K92" i="86"/>
  <c r="J92" i="86"/>
  <c r="I92" i="86"/>
  <c r="H92" i="86"/>
  <c r="G92" i="86"/>
  <c r="F92" i="86"/>
  <c r="E92" i="86"/>
  <c r="D92" i="86"/>
  <c r="C92" i="86"/>
  <c r="B92" i="86"/>
  <c r="AI91" i="86"/>
  <c r="AH91" i="86"/>
  <c r="AG91" i="86"/>
  <c r="AF91" i="86"/>
  <c r="AE91" i="86"/>
  <c r="AD91" i="86"/>
  <c r="AC91" i="86"/>
  <c r="AB91" i="86"/>
  <c r="AA91" i="86"/>
  <c r="Z91" i="86"/>
  <c r="Y91" i="86"/>
  <c r="X91" i="86"/>
  <c r="W91" i="86"/>
  <c r="V91" i="86"/>
  <c r="U91" i="86"/>
  <c r="T91" i="86"/>
  <c r="S91" i="86"/>
  <c r="R91" i="86"/>
  <c r="Q91" i="86"/>
  <c r="P91" i="86"/>
  <c r="O91" i="86"/>
  <c r="N91" i="86"/>
  <c r="M91" i="86"/>
  <c r="L91" i="86"/>
  <c r="K91" i="86"/>
  <c r="J91" i="86"/>
  <c r="I91" i="86"/>
  <c r="H91" i="86"/>
  <c r="G91" i="86"/>
  <c r="F91" i="86"/>
  <c r="E91" i="86"/>
  <c r="D91" i="86"/>
  <c r="C91" i="86"/>
  <c r="B91" i="86"/>
  <c r="AI90" i="86"/>
  <c r="AH90" i="86"/>
  <c r="AI89" i="86"/>
  <c r="AH89" i="86"/>
  <c r="AG89" i="86"/>
  <c r="AF89" i="86"/>
  <c r="AE89" i="86"/>
  <c r="AD89" i="86"/>
  <c r="AC89" i="86"/>
  <c r="AB89" i="86"/>
  <c r="AA89" i="86"/>
  <c r="Z89" i="86"/>
  <c r="Y89" i="86"/>
  <c r="X89" i="86"/>
  <c r="W89" i="86"/>
  <c r="V89" i="86"/>
  <c r="U89" i="86"/>
  <c r="T89" i="86"/>
  <c r="S89" i="86"/>
  <c r="R89" i="86"/>
  <c r="Q89" i="86"/>
  <c r="P89" i="86"/>
  <c r="O89" i="86"/>
  <c r="N89" i="86"/>
  <c r="M89" i="86"/>
  <c r="L89" i="86"/>
  <c r="K89" i="86"/>
  <c r="J89" i="86"/>
  <c r="I89" i="86"/>
  <c r="H89" i="86"/>
  <c r="G89" i="86"/>
  <c r="F89" i="86"/>
  <c r="E89" i="86"/>
  <c r="D89" i="86"/>
  <c r="C89" i="86"/>
  <c r="B89" i="86"/>
  <c r="AI88" i="86"/>
  <c r="AH88" i="86"/>
  <c r="AG88" i="86"/>
  <c r="AI87" i="86"/>
  <c r="AH87" i="86"/>
  <c r="AI86" i="86"/>
  <c r="AH86" i="86"/>
  <c r="AI85" i="86"/>
  <c r="AH85" i="86"/>
  <c r="AI84" i="86"/>
  <c r="AH84" i="86"/>
  <c r="AG84" i="86"/>
  <c r="AF84" i="86"/>
  <c r="AE84" i="86"/>
  <c r="AD84" i="86"/>
  <c r="AC84" i="86"/>
  <c r="AB84" i="86"/>
  <c r="AA84" i="86"/>
  <c r="Z84" i="86"/>
  <c r="Y84" i="86"/>
  <c r="X84" i="86"/>
  <c r="W84" i="86"/>
  <c r="V84" i="86"/>
  <c r="U84" i="86"/>
  <c r="T84" i="86"/>
  <c r="S84" i="86"/>
  <c r="R84" i="86"/>
  <c r="Q84" i="86"/>
  <c r="P84" i="86"/>
  <c r="O84" i="86"/>
  <c r="N84" i="86"/>
  <c r="M84" i="86"/>
  <c r="L84" i="86"/>
  <c r="K84" i="86"/>
  <c r="J84" i="86"/>
  <c r="I84" i="86"/>
  <c r="H84" i="86"/>
  <c r="G84" i="86"/>
  <c r="F84" i="86"/>
  <c r="E84" i="86"/>
  <c r="D84" i="86"/>
  <c r="C84" i="86"/>
  <c r="B84" i="86"/>
  <c r="AI83" i="86"/>
  <c r="AH83" i="86"/>
  <c r="AI82" i="86"/>
  <c r="AH82" i="86"/>
  <c r="AI81" i="86"/>
  <c r="AH81" i="86"/>
  <c r="AI80" i="86"/>
  <c r="AH80" i="86"/>
  <c r="AI79" i="86"/>
  <c r="AH79" i="86"/>
  <c r="AI78" i="86"/>
  <c r="AH78" i="86"/>
  <c r="AI77" i="86"/>
  <c r="AH77" i="86"/>
  <c r="AI76" i="86"/>
  <c r="AH76" i="86"/>
  <c r="AI75" i="86"/>
  <c r="AH75" i="86"/>
  <c r="AI74" i="86"/>
  <c r="AH74" i="86"/>
  <c r="AI73" i="86"/>
  <c r="AH73" i="86"/>
  <c r="AI72" i="86"/>
  <c r="AH72" i="86"/>
  <c r="AG72" i="86"/>
  <c r="AF72" i="86"/>
  <c r="AE72" i="86"/>
  <c r="AD72" i="86"/>
  <c r="AC72" i="86"/>
  <c r="AB72" i="86"/>
  <c r="AA72" i="86"/>
  <c r="Z72" i="86"/>
  <c r="Y72" i="86"/>
  <c r="X72" i="86"/>
  <c r="W72" i="86"/>
  <c r="V72" i="86"/>
  <c r="U72" i="86"/>
  <c r="T72" i="86"/>
  <c r="S72" i="86"/>
  <c r="R72" i="86"/>
  <c r="Q72" i="86"/>
  <c r="P72" i="86"/>
  <c r="O72" i="86"/>
  <c r="N72" i="86"/>
  <c r="M72" i="86"/>
  <c r="L72" i="86"/>
  <c r="B72" i="86"/>
  <c r="AI71" i="86"/>
  <c r="AH71" i="86"/>
  <c r="AI70" i="86"/>
  <c r="AH70" i="86"/>
  <c r="AI69" i="86"/>
  <c r="AH69" i="86"/>
  <c r="AI68" i="86"/>
  <c r="AH68" i="86"/>
  <c r="AG68" i="86"/>
  <c r="AF68" i="86"/>
  <c r="AE68" i="86"/>
  <c r="AD68" i="86"/>
  <c r="AC68" i="86"/>
  <c r="AB68" i="86"/>
  <c r="AA68" i="86"/>
  <c r="Z68" i="86"/>
  <c r="Y68" i="86"/>
  <c r="X68" i="86"/>
  <c r="W68" i="86"/>
  <c r="V68" i="86"/>
  <c r="U68" i="86"/>
  <c r="T68" i="86"/>
  <c r="S68" i="86"/>
  <c r="R68" i="86"/>
  <c r="Q68" i="86"/>
  <c r="P68" i="86"/>
  <c r="O68" i="86"/>
  <c r="N68" i="86"/>
  <c r="M68" i="86"/>
  <c r="L68" i="86"/>
  <c r="K68" i="86"/>
  <c r="J68" i="86"/>
  <c r="I68" i="86"/>
  <c r="H68" i="86"/>
  <c r="G68" i="86"/>
  <c r="F68" i="86"/>
  <c r="E68" i="86"/>
  <c r="D68" i="86"/>
  <c r="C68" i="86"/>
  <c r="B68" i="86"/>
  <c r="AI67" i="86"/>
  <c r="AH67" i="86"/>
  <c r="AG67" i="86"/>
  <c r="AI66" i="86"/>
  <c r="AH66" i="86"/>
  <c r="AI65" i="86"/>
  <c r="AH65" i="86"/>
  <c r="AI64" i="86"/>
  <c r="AH64" i="86"/>
  <c r="AI63" i="86"/>
  <c r="AH63" i="86"/>
  <c r="AI62" i="86"/>
  <c r="AH62" i="86"/>
  <c r="AI61" i="86"/>
  <c r="AH61" i="86"/>
  <c r="AI60" i="86"/>
  <c r="AH60" i="86"/>
  <c r="AI59" i="86"/>
  <c r="AH59" i="86"/>
  <c r="AI58" i="86"/>
  <c r="AH58" i="86"/>
  <c r="AI57" i="86"/>
  <c r="AH57" i="86"/>
  <c r="AI56" i="86"/>
  <c r="AH56" i="86"/>
  <c r="AI55" i="86"/>
  <c r="AH55" i="86"/>
  <c r="AI54" i="86"/>
  <c r="AH54" i="86"/>
  <c r="AG54" i="86"/>
  <c r="AF54" i="86"/>
  <c r="AE54" i="86"/>
  <c r="AD54" i="86"/>
  <c r="AC54" i="86"/>
  <c r="AB54" i="86"/>
  <c r="AA54" i="86"/>
  <c r="Z54" i="86"/>
  <c r="Y54" i="86"/>
  <c r="X54" i="86"/>
  <c r="W54" i="86"/>
  <c r="V54" i="86"/>
  <c r="U54" i="86"/>
  <c r="T54" i="86"/>
  <c r="S54" i="86"/>
  <c r="R54" i="86"/>
  <c r="Q54" i="86"/>
  <c r="P54" i="86"/>
  <c r="O54" i="86"/>
  <c r="N54" i="86"/>
  <c r="M54" i="86"/>
  <c r="L54" i="86"/>
  <c r="K54" i="86"/>
  <c r="J54" i="86"/>
  <c r="I54" i="86"/>
  <c r="H54" i="86"/>
  <c r="G54" i="86"/>
  <c r="F54" i="86"/>
  <c r="E54" i="86"/>
  <c r="D54" i="86"/>
  <c r="C54" i="86"/>
  <c r="B54" i="86"/>
  <c r="AI53" i="86"/>
  <c r="AH53" i="86"/>
  <c r="AI52" i="86"/>
  <c r="AH52" i="86"/>
  <c r="AI51" i="86"/>
  <c r="AH51" i="86"/>
  <c r="AI50" i="86"/>
  <c r="AH50" i="86"/>
  <c r="AG50" i="86"/>
  <c r="AF50" i="86"/>
  <c r="AE50" i="86"/>
  <c r="AD50" i="86"/>
  <c r="AC50" i="86"/>
  <c r="AB50" i="86"/>
  <c r="AA50" i="86"/>
  <c r="Z50" i="86"/>
  <c r="Y50" i="86"/>
  <c r="X50" i="86"/>
  <c r="W50" i="86"/>
  <c r="V50" i="86"/>
  <c r="U50" i="86"/>
  <c r="T50" i="86"/>
  <c r="S50" i="86"/>
  <c r="R50" i="86"/>
  <c r="Q50" i="86"/>
  <c r="P50" i="86"/>
  <c r="O50" i="86"/>
  <c r="N50" i="86"/>
  <c r="M50" i="86"/>
  <c r="L50" i="86"/>
  <c r="K50" i="86"/>
  <c r="J50" i="86"/>
  <c r="I50" i="86"/>
  <c r="H50" i="86"/>
  <c r="G50" i="86"/>
  <c r="F50" i="86"/>
  <c r="E50" i="86"/>
  <c r="D50" i="86"/>
  <c r="C50" i="86"/>
  <c r="B50" i="86"/>
  <c r="AI49" i="86"/>
  <c r="AH49" i="86"/>
  <c r="T49" i="86"/>
  <c r="S49" i="86"/>
  <c r="R49" i="86"/>
  <c r="Q49" i="86"/>
  <c r="P49" i="86"/>
  <c r="O49" i="86"/>
  <c r="N49" i="86"/>
  <c r="M49" i="86"/>
  <c r="AI48" i="86"/>
  <c r="AH48" i="86"/>
  <c r="AI47" i="86"/>
  <c r="AH47" i="86"/>
  <c r="AI46" i="86"/>
  <c r="AH46" i="86"/>
  <c r="AI45" i="86"/>
  <c r="AH45" i="86"/>
  <c r="AI44" i="86"/>
  <c r="AH44" i="86"/>
  <c r="AI43" i="86"/>
  <c r="AH43" i="86"/>
  <c r="AI42" i="86"/>
  <c r="AH42" i="86"/>
  <c r="AI41" i="86"/>
  <c r="AH41" i="86"/>
  <c r="AI40" i="86"/>
  <c r="AH40" i="86"/>
  <c r="AI39" i="86"/>
  <c r="AH39" i="86"/>
  <c r="AI38" i="86"/>
  <c r="AH38" i="86"/>
  <c r="AI37" i="86"/>
  <c r="AH37" i="86"/>
  <c r="AI36" i="86"/>
  <c r="AH36" i="86"/>
  <c r="AI35" i="86"/>
  <c r="AH35" i="86"/>
  <c r="AI34" i="86"/>
  <c r="AH34" i="86"/>
  <c r="AI33" i="86"/>
  <c r="AH33" i="86"/>
  <c r="AI32" i="86"/>
  <c r="AH32" i="86"/>
  <c r="AI31" i="86"/>
  <c r="AH31" i="86"/>
  <c r="AI30" i="86"/>
  <c r="AH30" i="86"/>
  <c r="AI29" i="86"/>
  <c r="AH29" i="86"/>
  <c r="AI28" i="86"/>
  <c r="AH28" i="86"/>
  <c r="AI27" i="86"/>
  <c r="AH27" i="86"/>
  <c r="AI26" i="86"/>
  <c r="AH26" i="86"/>
  <c r="AI25" i="86"/>
  <c r="AH25" i="86"/>
  <c r="AI24" i="86"/>
  <c r="AH24" i="86"/>
  <c r="AI23" i="86"/>
  <c r="AH23" i="86"/>
  <c r="AI22" i="86"/>
  <c r="AH22" i="86"/>
  <c r="AI21" i="86"/>
  <c r="AH21" i="86"/>
  <c r="AI20" i="86"/>
  <c r="AH20" i="86"/>
  <c r="AI19" i="86"/>
  <c r="AH19" i="86"/>
  <c r="AI18" i="86"/>
  <c r="AH18" i="86"/>
  <c r="AI17" i="86"/>
  <c r="AH17" i="86"/>
  <c r="AI16" i="86"/>
  <c r="AH16" i="86"/>
  <c r="AI15" i="86"/>
  <c r="AH15" i="86"/>
  <c r="AI14" i="86"/>
  <c r="AH14" i="86"/>
  <c r="AI13" i="86"/>
  <c r="AH13" i="86"/>
  <c r="AI12" i="86"/>
  <c r="AH12" i="86"/>
  <c r="AI11" i="86"/>
  <c r="AH11" i="86"/>
  <c r="AF7" i="86"/>
  <c r="AE7" i="86"/>
  <c r="AD7" i="86"/>
  <c r="AC7" i="86"/>
  <c r="AB7" i="86"/>
  <c r="AA7" i="86"/>
  <c r="Z7" i="86"/>
  <c r="Y7" i="86"/>
  <c r="X7" i="86"/>
  <c r="W7" i="86"/>
  <c r="V7" i="86"/>
  <c r="U7" i="86"/>
  <c r="T7" i="86"/>
  <c r="S7" i="86"/>
  <c r="R7" i="86"/>
  <c r="Q7" i="86"/>
  <c r="P7" i="86"/>
  <c r="O7" i="86"/>
  <c r="N7" i="86"/>
  <c r="M7" i="86"/>
  <c r="L7" i="86"/>
  <c r="K7" i="86"/>
  <c r="J7" i="86"/>
  <c r="I7" i="86"/>
  <c r="H7" i="86"/>
  <c r="G7" i="86"/>
  <c r="F7" i="86"/>
  <c r="E7" i="86"/>
  <c r="D7" i="86"/>
  <c r="C7" i="86"/>
  <c r="B7" i="86"/>
  <c r="A7" i="86"/>
  <c r="AG6" i="86"/>
  <c r="K6" i="86"/>
  <c r="AF5" i="86"/>
  <c r="AE5" i="86"/>
  <c r="AD5" i="86"/>
  <c r="AC5" i="86"/>
  <c r="AB5" i="86"/>
  <c r="AA5" i="86"/>
  <c r="Z5" i="86"/>
  <c r="Y5" i="86"/>
  <c r="X5" i="86"/>
  <c r="W5" i="86"/>
  <c r="V5" i="86"/>
  <c r="U5" i="86"/>
  <c r="T5" i="86"/>
  <c r="S5" i="86"/>
  <c r="R5" i="86"/>
  <c r="Q5" i="86"/>
  <c r="P5" i="86"/>
  <c r="O5" i="86"/>
  <c r="N5" i="86"/>
  <c r="M5" i="86"/>
  <c r="L5" i="86"/>
  <c r="K5" i="86"/>
  <c r="J5" i="86"/>
  <c r="I5" i="86"/>
  <c r="H5" i="86"/>
  <c r="G5" i="86"/>
  <c r="F5" i="86"/>
  <c r="E5" i="86"/>
  <c r="D5" i="86"/>
  <c r="C5" i="86"/>
  <c r="B5" i="86"/>
  <c r="AG4" i="86"/>
  <c r="K4" i="86"/>
  <c r="E4" i="86"/>
  <c r="H4" i="86" s="1"/>
  <c r="B4" i="86"/>
  <c r="S246" i="86" s="1"/>
  <c r="AG3" i="86"/>
  <c r="AG2" i="86"/>
  <c r="AF274" i="85"/>
  <c r="AE274" i="85"/>
  <c r="AD274" i="85"/>
  <c r="AC274" i="85"/>
  <c r="AB274" i="85"/>
  <c r="AA274" i="85"/>
  <c r="Z274" i="85"/>
  <c r="Y274" i="85"/>
  <c r="X274" i="85"/>
  <c r="W274" i="85"/>
  <c r="V274" i="85"/>
  <c r="U274" i="85"/>
  <c r="T274" i="85"/>
  <c r="S274" i="85"/>
  <c r="R274" i="85"/>
  <c r="Q274" i="85"/>
  <c r="P274" i="85"/>
  <c r="O274" i="85"/>
  <c r="N274" i="85"/>
  <c r="M274" i="85"/>
  <c r="L274" i="85"/>
  <c r="K274" i="85"/>
  <c r="J274" i="85"/>
  <c r="I274" i="85"/>
  <c r="H274" i="85"/>
  <c r="G274" i="85"/>
  <c r="F274" i="85"/>
  <c r="E274" i="85"/>
  <c r="D274" i="85"/>
  <c r="C274" i="85"/>
  <c r="B274" i="85"/>
  <c r="A274" i="85"/>
  <c r="AF273" i="85"/>
  <c r="AE273" i="85"/>
  <c r="AD273" i="85"/>
  <c r="AC273" i="85"/>
  <c r="AB273" i="85"/>
  <c r="AA273" i="85"/>
  <c r="Z273" i="85"/>
  <c r="Y273" i="85"/>
  <c r="X273" i="85"/>
  <c r="W273" i="85"/>
  <c r="V273" i="85"/>
  <c r="U273" i="85"/>
  <c r="T273" i="85"/>
  <c r="S273" i="85"/>
  <c r="R273" i="85"/>
  <c r="Q273" i="85"/>
  <c r="P273" i="85"/>
  <c r="O273" i="85"/>
  <c r="N273" i="85"/>
  <c r="M273" i="85"/>
  <c r="L273" i="85"/>
  <c r="K273" i="85"/>
  <c r="J273" i="85"/>
  <c r="I273" i="85"/>
  <c r="H273" i="85"/>
  <c r="G273" i="85"/>
  <c r="F273" i="85"/>
  <c r="E273" i="85"/>
  <c r="D273" i="85"/>
  <c r="C273" i="85"/>
  <c r="B273" i="85"/>
  <c r="A273" i="85"/>
  <c r="AF272" i="85"/>
  <c r="AE272" i="85"/>
  <c r="AD272" i="85"/>
  <c r="AC272" i="85"/>
  <c r="AB272" i="85"/>
  <c r="AA272" i="85"/>
  <c r="Z272" i="85"/>
  <c r="Y272" i="85"/>
  <c r="X272" i="85"/>
  <c r="W272" i="85"/>
  <c r="V272" i="85"/>
  <c r="U272" i="85"/>
  <c r="T272" i="85"/>
  <c r="S272" i="85"/>
  <c r="R272" i="85"/>
  <c r="Q272" i="85"/>
  <c r="P272" i="85"/>
  <c r="O272" i="85"/>
  <c r="N272" i="85"/>
  <c r="M272" i="85"/>
  <c r="L272" i="85"/>
  <c r="K272" i="85"/>
  <c r="J272" i="85"/>
  <c r="I272" i="85"/>
  <c r="H272" i="85"/>
  <c r="G272" i="85"/>
  <c r="F272" i="85"/>
  <c r="E272" i="85"/>
  <c r="D272" i="85"/>
  <c r="C272" i="85"/>
  <c r="B272" i="85"/>
  <c r="A272" i="85"/>
  <c r="AF271" i="85"/>
  <c r="AE271" i="85"/>
  <c r="AD271" i="85"/>
  <c r="AC271" i="85"/>
  <c r="AB271" i="85"/>
  <c r="AA271" i="85"/>
  <c r="Z271" i="85"/>
  <c r="Y271" i="85"/>
  <c r="X271" i="85"/>
  <c r="W271" i="85"/>
  <c r="V271" i="85"/>
  <c r="U271" i="85"/>
  <c r="T271" i="85"/>
  <c r="S271" i="85"/>
  <c r="R271" i="85"/>
  <c r="Q271" i="85"/>
  <c r="P271" i="85"/>
  <c r="O271" i="85"/>
  <c r="N271" i="85"/>
  <c r="M271" i="85"/>
  <c r="L271" i="85"/>
  <c r="K271" i="85"/>
  <c r="J271" i="85"/>
  <c r="I271" i="85"/>
  <c r="H271" i="85"/>
  <c r="G271" i="85"/>
  <c r="F271" i="85"/>
  <c r="E271" i="85"/>
  <c r="D271" i="85"/>
  <c r="C271" i="85"/>
  <c r="B271" i="85"/>
  <c r="A271" i="85"/>
  <c r="AF270" i="85"/>
  <c r="AE270" i="85"/>
  <c r="AD270" i="85"/>
  <c r="AC270" i="85"/>
  <c r="AB270" i="85"/>
  <c r="AA270" i="85"/>
  <c r="Z270" i="85"/>
  <c r="Y270" i="85"/>
  <c r="X270" i="85"/>
  <c r="W270" i="85"/>
  <c r="V270" i="85"/>
  <c r="U270" i="85"/>
  <c r="T270" i="85"/>
  <c r="S270" i="85"/>
  <c r="R270" i="85"/>
  <c r="Q270" i="85"/>
  <c r="P270" i="85"/>
  <c r="O270" i="85"/>
  <c r="N270" i="85"/>
  <c r="M270" i="85"/>
  <c r="L270" i="85"/>
  <c r="K270" i="85"/>
  <c r="J270" i="85"/>
  <c r="I270" i="85"/>
  <c r="H270" i="85"/>
  <c r="G270" i="85"/>
  <c r="F270" i="85"/>
  <c r="E270" i="85"/>
  <c r="D270" i="85"/>
  <c r="C270" i="85"/>
  <c r="B270" i="85"/>
  <c r="AX249" i="85"/>
  <c r="AW249" i="85"/>
  <c r="AV249" i="85"/>
  <c r="AU249" i="85"/>
  <c r="AT249" i="85"/>
  <c r="AS249" i="85"/>
  <c r="AR249" i="85"/>
  <c r="AQ249" i="85"/>
  <c r="AP249" i="85"/>
  <c r="AO249" i="85"/>
  <c r="AN249" i="85"/>
  <c r="AM249" i="85"/>
  <c r="AL249" i="85"/>
  <c r="AK249" i="85"/>
  <c r="AJ249" i="85"/>
  <c r="AI249" i="85"/>
  <c r="AH249" i="85"/>
  <c r="AG249" i="85"/>
  <c r="AF249" i="85"/>
  <c r="AE249" i="85"/>
  <c r="AD249" i="85"/>
  <c r="AC249" i="85"/>
  <c r="AB249" i="85"/>
  <c r="AA249" i="85"/>
  <c r="Z249" i="85"/>
  <c r="Y249" i="85"/>
  <c r="X249" i="85"/>
  <c r="W249" i="85"/>
  <c r="V249" i="85"/>
  <c r="U249" i="85"/>
  <c r="T249" i="85"/>
  <c r="S245" i="85"/>
  <c r="C244" i="85"/>
  <c r="B244" i="85"/>
  <c r="AG235" i="85"/>
  <c r="AF235" i="85"/>
  <c r="AE235" i="85"/>
  <c r="AD235" i="85"/>
  <c r="AC235" i="85"/>
  <c r="AB235" i="85"/>
  <c r="AA235" i="85"/>
  <c r="Z235" i="85"/>
  <c r="Y235" i="85"/>
  <c r="X235" i="85"/>
  <c r="W235" i="85"/>
  <c r="V235" i="85"/>
  <c r="U235" i="85"/>
  <c r="T235" i="85"/>
  <c r="S235" i="85"/>
  <c r="R235" i="85"/>
  <c r="Q235" i="85"/>
  <c r="H235" i="85"/>
  <c r="G235" i="85"/>
  <c r="F235" i="85"/>
  <c r="E235" i="85"/>
  <c r="D235" i="85"/>
  <c r="C235" i="85"/>
  <c r="B235" i="85"/>
  <c r="P234" i="85"/>
  <c r="O234" i="85"/>
  <c r="N234" i="85"/>
  <c r="M234" i="85"/>
  <c r="L234" i="85"/>
  <c r="K234" i="85"/>
  <c r="J234" i="85"/>
  <c r="I234" i="85"/>
  <c r="H234" i="85"/>
  <c r="G234" i="85"/>
  <c r="F234" i="85"/>
  <c r="E234" i="85"/>
  <c r="D234" i="85"/>
  <c r="B234" i="85"/>
  <c r="P233" i="85"/>
  <c r="O233" i="85"/>
  <c r="N233" i="85"/>
  <c r="M233" i="85"/>
  <c r="L233" i="85"/>
  <c r="K233" i="85"/>
  <c r="J233" i="85"/>
  <c r="I233" i="85"/>
  <c r="H233" i="85"/>
  <c r="G233" i="85"/>
  <c r="F233" i="85"/>
  <c r="E233" i="85"/>
  <c r="D233" i="85"/>
  <c r="B233" i="85"/>
  <c r="P232" i="85"/>
  <c r="O232" i="85"/>
  <c r="N232" i="85"/>
  <c r="M232" i="85"/>
  <c r="L232" i="85"/>
  <c r="K232" i="85"/>
  <c r="J232" i="85"/>
  <c r="I232" i="85"/>
  <c r="H232" i="85"/>
  <c r="G232" i="85"/>
  <c r="F232" i="85"/>
  <c r="E232" i="85"/>
  <c r="D232" i="85"/>
  <c r="B232" i="85"/>
  <c r="H231" i="85"/>
  <c r="G231" i="85"/>
  <c r="F231" i="85"/>
  <c r="E231" i="85"/>
  <c r="D231" i="85"/>
  <c r="B231" i="85"/>
  <c r="P230" i="85"/>
  <c r="O230" i="85"/>
  <c r="N230" i="85"/>
  <c r="M230" i="85"/>
  <c r="L230" i="85"/>
  <c r="K230" i="85"/>
  <c r="J230" i="85"/>
  <c r="I230" i="85"/>
  <c r="H230" i="85"/>
  <c r="G230" i="85"/>
  <c r="F230" i="85"/>
  <c r="E230" i="85"/>
  <c r="D230" i="85"/>
  <c r="B230" i="85"/>
  <c r="P229" i="85"/>
  <c r="O229" i="85"/>
  <c r="N229" i="85"/>
  <c r="M229" i="85"/>
  <c r="L229" i="85"/>
  <c r="K229" i="85"/>
  <c r="J229" i="85"/>
  <c r="I229" i="85"/>
  <c r="H229" i="85"/>
  <c r="G229" i="85"/>
  <c r="F229" i="85"/>
  <c r="E229" i="85"/>
  <c r="D229" i="85"/>
  <c r="B229" i="85"/>
  <c r="AG227" i="85"/>
  <c r="AF227" i="85"/>
  <c r="AE227" i="85"/>
  <c r="AD227" i="85"/>
  <c r="AC227" i="85"/>
  <c r="AB227" i="85"/>
  <c r="AA227" i="85"/>
  <c r="Z227" i="85"/>
  <c r="Y227" i="85"/>
  <c r="X227" i="85"/>
  <c r="W227" i="85"/>
  <c r="V227" i="85"/>
  <c r="U227" i="85"/>
  <c r="T227" i="85"/>
  <c r="S227" i="85"/>
  <c r="R227" i="85"/>
  <c r="Q227" i="85"/>
  <c r="P227" i="85"/>
  <c r="O227" i="85"/>
  <c r="N227" i="85"/>
  <c r="M227" i="85"/>
  <c r="L227" i="85"/>
  <c r="K227" i="85"/>
  <c r="J227" i="85"/>
  <c r="I227" i="85"/>
  <c r="H227" i="85"/>
  <c r="G227" i="85"/>
  <c r="F227" i="85"/>
  <c r="E227" i="85"/>
  <c r="D227" i="85"/>
  <c r="C227" i="85"/>
  <c r="B227" i="85"/>
  <c r="AI120" i="85"/>
  <c r="AH120" i="85"/>
  <c r="AI119" i="85"/>
  <c r="AH119" i="85"/>
  <c r="AI118" i="85"/>
  <c r="AH118" i="85"/>
  <c r="AI117" i="85"/>
  <c r="AH117" i="85"/>
  <c r="AI116" i="85"/>
  <c r="AH116" i="85"/>
  <c r="AI115" i="85"/>
  <c r="AH115" i="85"/>
  <c r="AI114" i="85"/>
  <c r="AH114" i="85"/>
  <c r="AI113" i="85"/>
  <c r="AH113" i="85"/>
  <c r="AB113" i="85"/>
  <c r="R113" i="85"/>
  <c r="Q113" i="85"/>
  <c r="P113" i="85"/>
  <c r="O113" i="85"/>
  <c r="N113" i="85"/>
  <c r="M113" i="85"/>
  <c r="AI112" i="85"/>
  <c r="AH112" i="85"/>
  <c r="AI111" i="85"/>
  <c r="AH111" i="85"/>
  <c r="AI110" i="85"/>
  <c r="AH110" i="85"/>
  <c r="AF110" i="85"/>
  <c r="AE110" i="85"/>
  <c r="AC110" i="85"/>
  <c r="AB110" i="85"/>
  <c r="AA110" i="85"/>
  <c r="Z110" i="85"/>
  <c r="Y110" i="85"/>
  <c r="X110" i="85"/>
  <c r="W110" i="85"/>
  <c r="V110" i="85"/>
  <c r="U110" i="85"/>
  <c r="T110" i="85"/>
  <c r="S110" i="85"/>
  <c r="R110" i="85"/>
  <c r="Q110" i="85"/>
  <c r="O110" i="85"/>
  <c r="N110" i="85"/>
  <c r="M110" i="85"/>
  <c r="L110" i="85"/>
  <c r="K110" i="85"/>
  <c r="J110" i="85"/>
  <c r="I110" i="85"/>
  <c r="H110" i="85"/>
  <c r="G110" i="85"/>
  <c r="F110" i="85"/>
  <c r="E110" i="85"/>
  <c r="D110" i="85"/>
  <c r="C110" i="85"/>
  <c r="B110" i="85"/>
  <c r="AI109" i="85"/>
  <c r="AH109" i="85"/>
  <c r="AI108" i="85"/>
  <c r="AH108" i="85"/>
  <c r="AI107" i="85"/>
  <c r="AH107" i="85"/>
  <c r="AI106" i="85"/>
  <c r="AH106" i="85"/>
  <c r="AI105" i="85"/>
  <c r="AH105" i="85"/>
  <c r="AI104" i="85"/>
  <c r="AH104" i="85"/>
  <c r="AI103" i="85"/>
  <c r="AH103" i="85"/>
  <c r="AI102" i="85"/>
  <c r="AH102" i="85"/>
  <c r="AI101" i="85"/>
  <c r="AH101" i="85"/>
  <c r="AI100" i="85"/>
  <c r="AH100" i="85"/>
  <c r="AF100" i="85"/>
  <c r="AE100" i="85"/>
  <c r="AD100" i="85"/>
  <c r="AC100" i="85"/>
  <c r="AB100" i="85"/>
  <c r="AA100" i="85"/>
  <c r="Z100" i="85"/>
  <c r="Y100" i="85"/>
  <c r="X100" i="85"/>
  <c r="W100" i="85"/>
  <c r="V100" i="85"/>
  <c r="U100" i="85"/>
  <c r="T100" i="85"/>
  <c r="S100" i="85"/>
  <c r="R100" i="85"/>
  <c r="Q100" i="85"/>
  <c r="P100" i="85"/>
  <c r="O100" i="85"/>
  <c r="N100" i="85"/>
  <c r="M100" i="85"/>
  <c r="L100" i="85"/>
  <c r="K100" i="85"/>
  <c r="J100" i="85"/>
  <c r="I100" i="85"/>
  <c r="H100" i="85"/>
  <c r="G100" i="85"/>
  <c r="F100" i="85"/>
  <c r="E100" i="85"/>
  <c r="D100" i="85"/>
  <c r="C100" i="85"/>
  <c r="B100" i="85"/>
  <c r="AI99" i="85"/>
  <c r="AH99" i="85"/>
  <c r="AF99" i="85"/>
  <c r="AE99" i="85"/>
  <c r="AD99" i="85"/>
  <c r="AC99" i="85"/>
  <c r="AB99" i="85"/>
  <c r="AA99" i="85"/>
  <c r="Z99" i="85"/>
  <c r="Y99" i="85"/>
  <c r="X99" i="85"/>
  <c r="W99" i="85"/>
  <c r="V99" i="85"/>
  <c r="U99" i="85"/>
  <c r="T99" i="85"/>
  <c r="S99" i="85"/>
  <c r="R99" i="85"/>
  <c r="Q99" i="85"/>
  <c r="P99" i="85"/>
  <c r="O99" i="85"/>
  <c r="N99" i="85"/>
  <c r="M99" i="85"/>
  <c r="L99" i="85"/>
  <c r="K99" i="85"/>
  <c r="J99" i="85"/>
  <c r="I99" i="85"/>
  <c r="H99" i="85"/>
  <c r="G99" i="85"/>
  <c r="F99" i="85"/>
  <c r="E99" i="85"/>
  <c r="D99" i="85"/>
  <c r="C99" i="85"/>
  <c r="B99" i="85"/>
  <c r="AI98" i="85"/>
  <c r="AH98" i="85"/>
  <c r="AI97" i="85"/>
  <c r="AH97" i="85"/>
  <c r="AI96" i="85"/>
  <c r="AH96" i="85"/>
  <c r="AI95" i="85"/>
  <c r="AH95" i="85"/>
  <c r="AI94" i="85"/>
  <c r="AH94" i="85"/>
  <c r="AI93" i="85"/>
  <c r="AH93" i="85"/>
  <c r="AI92" i="85"/>
  <c r="AH92" i="85"/>
  <c r="AF92" i="85"/>
  <c r="AE92" i="85"/>
  <c r="AD92" i="85"/>
  <c r="AC92" i="85"/>
  <c r="AB92" i="85"/>
  <c r="AA92" i="85"/>
  <c r="Z92" i="85"/>
  <c r="Y92" i="85"/>
  <c r="X92" i="85"/>
  <c r="W92" i="85"/>
  <c r="V92" i="85"/>
  <c r="U92" i="85"/>
  <c r="T92" i="85"/>
  <c r="S92" i="85"/>
  <c r="R92" i="85"/>
  <c r="Q92" i="85"/>
  <c r="P92" i="85"/>
  <c r="O92" i="85"/>
  <c r="N92" i="85"/>
  <c r="M92" i="85"/>
  <c r="L92" i="85"/>
  <c r="K92" i="85"/>
  <c r="J92" i="85"/>
  <c r="I92" i="85"/>
  <c r="H92" i="85"/>
  <c r="G92" i="85"/>
  <c r="F92" i="85"/>
  <c r="E92" i="85"/>
  <c r="D92" i="85"/>
  <c r="C92" i="85"/>
  <c r="B92" i="85"/>
  <c r="AI91" i="85"/>
  <c r="AH91" i="85"/>
  <c r="AG91" i="85"/>
  <c r="AF91" i="85"/>
  <c r="AE91" i="85"/>
  <c r="AD91" i="85"/>
  <c r="AC91" i="85"/>
  <c r="AB91" i="85"/>
  <c r="AA91" i="85"/>
  <c r="Z91" i="85"/>
  <c r="Y91" i="85"/>
  <c r="X91" i="85"/>
  <c r="W91" i="85"/>
  <c r="V91" i="85"/>
  <c r="U91" i="85"/>
  <c r="T91" i="85"/>
  <c r="S91" i="85"/>
  <c r="R91" i="85"/>
  <c r="Q91" i="85"/>
  <c r="P91" i="85"/>
  <c r="O91" i="85"/>
  <c r="N91" i="85"/>
  <c r="M91" i="85"/>
  <c r="L91" i="85"/>
  <c r="K91" i="85"/>
  <c r="J91" i="85"/>
  <c r="I91" i="85"/>
  <c r="H91" i="85"/>
  <c r="G91" i="85"/>
  <c r="F91" i="85"/>
  <c r="E91" i="85"/>
  <c r="D91" i="85"/>
  <c r="C91" i="85"/>
  <c r="B91" i="85"/>
  <c r="AI90" i="85"/>
  <c r="AH90" i="85"/>
  <c r="AI89" i="85"/>
  <c r="AH89" i="85"/>
  <c r="AG89" i="85"/>
  <c r="AF89" i="85"/>
  <c r="AE89" i="85"/>
  <c r="AD89" i="85"/>
  <c r="AC89" i="85"/>
  <c r="AB89" i="85"/>
  <c r="AA89" i="85"/>
  <c r="Z89" i="85"/>
  <c r="Y89" i="85"/>
  <c r="X89" i="85"/>
  <c r="W89" i="85"/>
  <c r="V89" i="85"/>
  <c r="U89" i="85"/>
  <c r="T89" i="85"/>
  <c r="S89" i="85"/>
  <c r="R89" i="85"/>
  <c r="Q89" i="85"/>
  <c r="P89" i="85"/>
  <c r="O89" i="85"/>
  <c r="N89" i="85"/>
  <c r="M89" i="85"/>
  <c r="L89" i="85"/>
  <c r="K89" i="85"/>
  <c r="J89" i="85"/>
  <c r="I89" i="85"/>
  <c r="H89" i="85"/>
  <c r="G89" i="85"/>
  <c r="F89" i="85"/>
  <c r="E89" i="85"/>
  <c r="D89" i="85"/>
  <c r="C89" i="85"/>
  <c r="B89" i="85"/>
  <c r="AI88" i="85"/>
  <c r="AH88" i="85"/>
  <c r="AG88" i="85"/>
  <c r="AI87" i="85"/>
  <c r="AH87" i="85"/>
  <c r="AI86" i="85"/>
  <c r="AH86" i="85"/>
  <c r="AI85" i="85"/>
  <c r="AH85" i="85"/>
  <c r="AI84" i="85"/>
  <c r="AH84" i="85"/>
  <c r="AG84" i="85"/>
  <c r="AF84" i="85"/>
  <c r="AE84" i="85"/>
  <c r="AD84" i="85"/>
  <c r="AC84" i="85"/>
  <c r="AB84" i="85"/>
  <c r="AA84" i="85"/>
  <c r="Z84" i="85"/>
  <c r="Y84" i="85"/>
  <c r="X84" i="85"/>
  <c r="W84" i="85"/>
  <c r="V84" i="85"/>
  <c r="U84" i="85"/>
  <c r="T84" i="85"/>
  <c r="S84" i="85"/>
  <c r="R84" i="85"/>
  <c r="Q84" i="85"/>
  <c r="P84" i="85"/>
  <c r="O84" i="85"/>
  <c r="N84" i="85"/>
  <c r="M84" i="85"/>
  <c r="L84" i="85"/>
  <c r="K84" i="85"/>
  <c r="J84" i="85"/>
  <c r="I84" i="85"/>
  <c r="H84" i="85"/>
  <c r="G84" i="85"/>
  <c r="F84" i="85"/>
  <c r="E84" i="85"/>
  <c r="D84" i="85"/>
  <c r="C84" i="85"/>
  <c r="B84" i="85"/>
  <c r="AI83" i="85"/>
  <c r="AH83" i="85"/>
  <c r="AI82" i="85"/>
  <c r="AH82" i="85"/>
  <c r="AI81" i="85"/>
  <c r="AH81" i="85"/>
  <c r="AI80" i="85"/>
  <c r="AH80" i="85"/>
  <c r="AI79" i="85"/>
  <c r="AH79" i="85"/>
  <c r="AI78" i="85"/>
  <c r="AH78" i="85"/>
  <c r="AI77" i="85"/>
  <c r="AH77" i="85"/>
  <c r="AI76" i="85"/>
  <c r="AH76" i="85"/>
  <c r="AI75" i="85"/>
  <c r="AH75" i="85"/>
  <c r="AI74" i="85"/>
  <c r="AH74" i="85"/>
  <c r="AI73" i="85"/>
  <c r="AH73" i="85"/>
  <c r="AI72" i="85"/>
  <c r="AH72" i="85"/>
  <c r="AG72" i="85"/>
  <c r="AF72" i="85"/>
  <c r="AE72" i="85"/>
  <c r="AD72" i="85"/>
  <c r="AC72" i="85"/>
  <c r="AB72" i="85"/>
  <c r="AA72" i="85"/>
  <c r="Z72" i="85"/>
  <c r="Y72" i="85"/>
  <c r="X72" i="85"/>
  <c r="W72" i="85"/>
  <c r="V72" i="85"/>
  <c r="U72" i="85"/>
  <c r="T72" i="85"/>
  <c r="S72" i="85"/>
  <c r="R72" i="85"/>
  <c r="Q72" i="85"/>
  <c r="P72" i="85"/>
  <c r="O72" i="85"/>
  <c r="N72" i="85"/>
  <c r="M72" i="85"/>
  <c r="L72" i="85"/>
  <c r="B72" i="85"/>
  <c r="AI71" i="85"/>
  <c r="AH71" i="85"/>
  <c r="AI70" i="85"/>
  <c r="AH70" i="85"/>
  <c r="AI69" i="85"/>
  <c r="AH69" i="85"/>
  <c r="AI68" i="85"/>
  <c r="AH68" i="85"/>
  <c r="AG68" i="85"/>
  <c r="AF68" i="85"/>
  <c r="AE68" i="85"/>
  <c r="AD68" i="85"/>
  <c r="AC68" i="85"/>
  <c r="AB68" i="85"/>
  <c r="AA68" i="85"/>
  <c r="Z68" i="85"/>
  <c r="Y68" i="85"/>
  <c r="X68" i="85"/>
  <c r="W68" i="85"/>
  <c r="V68" i="85"/>
  <c r="U68" i="85"/>
  <c r="T68" i="85"/>
  <c r="S68" i="85"/>
  <c r="R68" i="85"/>
  <c r="Q68" i="85"/>
  <c r="P68" i="85"/>
  <c r="O68" i="85"/>
  <c r="N68" i="85"/>
  <c r="M68" i="85"/>
  <c r="L68" i="85"/>
  <c r="K68" i="85"/>
  <c r="J68" i="85"/>
  <c r="I68" i="85"/>
  <c r="H68" i="85"/>
  <c r="G68" i="85"/>
  <c r="F68" i="85"/>
  <c r="E68" i="85"/>
  <c r="D68" i="85"/>
  <c r="C68" i="85"/>
  <c r="B68" i="85"/>
  <c r="AI67" i="85"/>
  <c r="AH67" i="85"/>
  <c r="AG67" i="85"/>
  <c r="AI66" i="85"/>
  <c r="AH66" i="85"/>
  <c r="AI65" i="85"/>
  <c r="AH65" i="85"/>
  <c r="AI64" i="85"/>
  <c r="AH64" i="85"/>
  <c r="AI63" i="85"/>
  <c r="AH63" i="85"/>
  <c r="AI62" i="85"/>
  <c r="AH62" i="85"/>
  <c r="AI61" i="85"/>
  <c r="AH61" i="85"/>
  <c r="AI60" i="85"/>
  <c r="AH60" i="85"/>
  <c r="AI59" i="85"/>
  <c r="AH59" i="85"/>
  <c r="AI58" i="85"/>
  <c r="AH58" i="85"/>
  <c r="AI57" i="85"/>
  <c r="AH57" i="85"/>
  <c r="AI56" i="85"/>
  <c r="AH56" i="85"/>
  <c r="AI55" i="85"/>
  <c r="AH55" i="85"/>
  <c r="AI54" i="85"/>
  <c r="AH54" i="85"/>
  <c r="AG54" i="85"/>
  <c r="AF54" i="85"/>
  <c r="AE54" i="85"/>
  <c r="AD54" i="85"/>
  <c r="AC54" i="85"/>
  <c r="AB54" i="85"/>
  <c r="AA54" i="85"/>
  <c r="Z54" i="85"/>
  <c r="Y54" i="85"/>
  <c r="U54" i="85"/>
  <c r="T54" i="85"/>
  <c r="S54" i="85"/>
  <c r="R54" i="85"/>
  <c r="Q54" i="85"/>
  <c r="P54" i="85"/>
  <c r="O54" i="85"/>
  <c r="N54" i="85"/>
  <c r="M54" i="85"/>
  <c r="L54" i="85"/>
  <c r="K54" i="85"/>
  <c r="J54" i="85"/>
  <c r="I54" i="85"/>
  <c r="H54" i="85"/>
  <c r="G54" i="85"/>
  <c r="F54" i="85"/>
  <c r="E54" i="85"/>
  <c r="D54" i="85"/>
  <c r="C54" i="85"/>
  <c r="B54" i="85"/>
  <c r="AI53" i="85"/>
  <c r="AH53" i="85"/>
  <c r="AI52" i="85"/>
  <c r="AH52" i="85"/>
  <c r="AI51" i="85"/>
  <c r="AH51" i="85"/>
  <c r="AI50" i="85"/>
  <c r="AH50" i="85"/>
  <c r="AG50" i="85"/>
  <c r="AF50" i="85"/>
  <c r="AE50" i="85"/>
  <c r="AD50" i="85"/>
  <c r="AC50" i="85"/>
  <c r="AB50" i="85"/>
  <c r="AA50" i="85"/>
  <c r="Z50" i="85"/>
  <c r="Y50" i="85"/>
  <c r="X50" i="85"/>
  <c r="W50" i="85"/>
  <c r="V50" i="85"/>
  <c r="U50" i="85"/>
  <c r="T50" i="85"/>
  <c r="S50" i="85"/>
  <c r="R50" i="85"/>
  <c r="Q50" i="85"/>
  <c r="P50" i="85"/>
  <c r="O50" i="85"/>
  <c r="N50" i="85"/>
  <c r="M50" i="85"/>
  <c r="L50" i="85"/>
  <c r="K50" i="85"/>
  <c r="J50" i="85"/>
  <c r="I50" i="85"/>
  <c r="H50" i="85"/>
  <c r="G50" i="85"/>
  <c r="F50" i="85"/>
  <c r="E50" i="85"/>
  <c r="D50" i="85"/>
  <c r="C50" i="85"/>
  <c r="B50" i="85"/>
  <c r="AI49" i="85"/>
  <c r="AH49" i="85"/>
  <c r="X49" i="85"/>
  <c r="W49" i="85"/>
  <c r="V49" i="85"/>
  <c r="U49" i="85"/>
  <c r="T49" i="85"/>
  <c r="S49" i="85"/>
  <c r="R49" i="85"/>
  <c r="Q49" i="85"/>
  <c r="P49" i="85"/>
  <c r="O49" i="85"/>
  <c r="N49" i="85"/>
  <c r="M49" i="85"/>
  <c r="D49" i="85"/>
  <c r="C49" i="85"/>
  <c r="B49" i="85"/>
  <c r="AI48" i="85"/>
  <c r="AH48" i="85"/>
  <c r="AI47" i="85"/>
  <c r="AH47" i="85"/>
  <c r="AI46" i="85"/>
  <c r="AH46" i="85"/>
  <c r="AI45" i="85"/>
  <c r="AH45" i="85"/>
  <c r="AI44" i="85"/>
  <c r="AH44" i="85"/>
  <c r="AI43" i="85"/>
  <c r="AH43" i="85"/>
  <c r="AI42" i="85"/>
  <c r="AH42" i="85"/>
  <c r="AI41" i="85"/>
  <c r="AH41" i="85"/>
  <c r="AI40" i="85"/>
  <c r="AH40" i="85"/>
  <c r="AI39" i="85"/>
  <c r="AH39" i="85"/>
  <c r="AI38" i="85"/>
  <c r="AH38" i="85"/>
  <c r="AI37" i="85"/>
  <c r="AH37" i="85"/>
  <c r="AI36" i="85"/>
  <c r="AH36" i="85"/>
  <c r="AI35" i="85"/>
  <c r="AH35" i="85"/>
  <c r="AI34" i="85"/>
  <c r="AH34" i="85"/>
  <c r="AI33" i="85"/>
  <c r="AH33" i="85"/>
  <c r="AI32" i="85"/>
  <c r="AH32" i="85"/>
  <c r="AI31" i="85"/>
  <c r="AH31" i="85"/>
  <c r="AI30" i="85"/>
  <c r="AH30" i="85"/>
  <c r="AI29" i="85"/>
  <c r="AH29" i="85"/>
  <c r="AI28" i="85"/>
  <c r="AH28" i="85"/>
  <c r="AI27" i="85"/>
  <c r="AH27" i="85"/>
  <c r="AI26" i="85"/>
  <c r="AH26" i="85"/>
  <c r="AI25" i="85"/>
  <c r="AH25" i="85"/>
  <c r="AI24" i="85"/>
  <c r="AH24" i="85"/>
  <c r="AI23" i="85"/>
  <c r="AH23" i="85"/>
  <c r="AI22" i="85"/>
  <c r="AH22" i="85"/>
  <c r="AI21" i="85"/>
  <c r="AH21" i="85"/>
  <c r="AI20" i="85"/>
  <c r="AH20" i="85"/>
  <c r="AI19" i="85"/>
  <c r="AH19" i="85"/>
  <c r="AI18" i="85"/>
  <c r="AH18" i="85"/>
  <c r="AI17" i="85"/>
  <c r="AH17" i="85"/>
  <c r="AI16" i="85"/>
  <c r="AH16" i="85"/>
  <c r="AI15" i="85"/>
  <c r="AH15" i="85"/>
  <c r="AI14" i="85"/>
  <c r="AH14" i="85"/>
  <c r="AI13" i="85"/>
  <c r="AH13" i="85"/>
  <c r="AI12" i="85"/>
  <c r="AH12" i="85"/>
  <c r="AI11" i="85"/>
  <c r="AH11" i="85"/>
  <c r="AF7" i="85"/>
  <c r="AE7" i="85"/>
  <c r="AD7" i="85"/>
  <c r="AC7" i="85"/>
  <c r="AB7" i="85"/>
  <c r="AA7" i="85"/>
  <c r="Z7" i="85"/>
  <c r="Y7" i="85"/>
  <c r="X7" i="85"/>
  <c r="W7" i="85"/>
  <c r="V7" i="85"/>
  <c r="U7" i="85"/>
  <c r="T7" i="85"/>
  <c r="S7" i="85"/>
  <c r="R7" i="85"/>
  <c r="Q7" i="85"/>
  <c r="P7" i="85"/>
  <c r="O7" i="85"/>
  <c r="N7" i="85"/>
  <c r="M7" i="85"/>
  <c r="L7" i="85"/>
  <c r="K7" i="85"/>
  <c r="J7" i="85"/>
  <c r="I7" i="85"/>
  <c r="H7" i="85"/>
  <c r="G7" i="85"/>
  <c r="F7" i="85"/>
  <c r="E7" i="85"/>
  <c r="D7" i="85"/>
  <c r="C7" i="85"/>
  <c r="B7" i="85"/>
  <c r="A7" i="85"/>
  <c r="AG6" i="85"/>
  <c r="K6" i="85"/>
  <c r="AF5" i="85"/>
  <c r="AE5" i="85"/>
  <c r="AD5" i="85"/>
  <c r="AC5" i="85"/>
  <c r="AB5" i="85"/>
  <c r="AA5" i="85"/>
  <c r="Z5" i="85"/>
  <c r="Y5" i="85"/>
  <c r="X5" i="85"/>
  <c r="W5" i="85"/>
  <c r="V5" i="85"/>
  <c r="U5" i="85"/>
  <c r="T5" i="85"/>
  <c r="S5" i="85"/>
  <c r="R5" i="85"/>
  <c r="Q5" i="85"/>
  <c r="P5" i="85"/>
  <c r="O5" i="85"/>
  <c r="N5" i="85"/>
  <c r="M5" i="85"/>
  <c r="L5" i="85"/>
  <c r="K5" i="85"/>
  <c r="J5" i="85"/>
  <c r="I5" i="85"/>
  <c r="H5" i="85"/>
  <c r="G5" i="85"/>
  <c r="F5" i="85"/>
  <c r="E5" i="85"/>
  <c r="D5" i="85"/>
  <c r="C5" i="85"/>
  <c r="B5" i="85"/>
  <c r="AG4" i="85"/>
  <c r="K4" i="85"/>
  <c r="E4" i="85"/>
  <c r="H4" i="85" s="1"/>
  <c r="B4" i="85"/>
  <c r="D246" i="85" s="1"/>
  <c r="AG3" i="85"/>
  <c r="AG2" i="85"/>
  <c r="Y307" i="84"/>
  <c r="AF274" i="84"/>
  <c r="AE274" i="84"/>
  <c r="AD274" i="84"/>
  <c r="AC274" i="84"/>
  <c r="AB274" i="84"/>
  <c r="AA274" i="84"/>
  <c r="Z274" i="84"/>
  <c r="Y274" i="84"/>
  <c r="X274" i="84"/>
  <c r="W274" i="84"/>
  <c r="V274" i="84"/>
  <c r="U274" i="84"/>
  <c r="T274" i="84"/>
  <c r="S274" i="84"/>
  <c r="R274" i="84"/>
  <c r="Q274" i="84"/>
  <c r="P274" i="84"/>
  <c r="O274" i="84"/>
  <c r="N274" i="84"/>
  <c r="M274" i="84"/>
  <c r="L274" i="84"/>
  <c r="K274" i="84"/>
  <c r="J274" i="84"/>
  <c r="I274" i="84"/>
  <c r="H274" i="84"/>
  <c r="G274" i="84"/>
  <c r="F274" i="84"/>
  <c r="E274" i="84"/>
  <c r="D274" i="84"/>
  <c r="C274" i="84"/>
  <c r="B274" i="84"/>
  <c r="A274" i="84"/>
  <c r="AF273" i="84"/>
  <c r="AE273" i="84"/>
  <c r="AD273" i="84"/>
  <c r="AC273" i="84"/>
  <c r="AB273" i="84"/>
  <c r="AA273" i="84"/>
  <c r="Z273" i="84"/>
  <c r="Y273" i="84"/>
  <c r="X273" i="84"/>
  <c r="W273" i="84"/>
  <c r="V273" i="84"/>
  <c r="U273" i="84"/>
  <c r="T273" i="84"/>
  <c r="S273" i="84"/>
  <c r="R273" i="84"/>
  <c r="Q273" i="84"/>
  <c r="P273" i="84"/>
  <c r="O273" i="84"/>
  <c r="N273" i="84"/>
  <c r="M273" i="84"/>
  <c r="L273" i="84"/>
  <c r="K273" i="84"/>
  <c r="J273" i="84"/>
  <c r="I273" i="84"/>
  <c r="H273" i="84"/>
  <c r="G273" i="84"/>
  <c r="F273" i="84"/>
  <c r="E273" i="84"/>
  <c r="D273" i="84"/>
  <c r="C273" i="84"/>
  <c r="B273" i="84"/>
  <c r="A273" i="84"/>
  <c r="AF272" i="84"/>
  <c r="AE272" i="84"/>
  <c r="AD272" i="84"/>
  <c r="AC272" i="84"/>
  <c r="AB272" i="84"/>
  <c r="AA272" i="84"/>
  <c r="Z272" i="84"/>
  <c r="Y272" i="84"/>
  <c r="X272" i="84"/>
  <c r="W272" i="84"/>
  <c r="V272" i="84"/>
  <c r="U272" i="84"/>
  <c r="T272" i="84"/>
  <c r="S272" i="84"/>
  <c r="R272" i="84"/>
  <c r="Q272" i="84"/>
  <c r="P272" i="84"/>
  <c r="O272" i="84"/>
  <c r="N272" i="84"/>
  <c r="M272" i="84"/>
  <c r="L272" i="84"/>
  <c r="K272" i="84"/>
  <c r="J272" i="84"/>
  <c r="I272" i="84"/>
  <c r="H272" i="84"/>
  <c r="G272" i="84"/>
  <c r="F272" i="84"/>
  <c r="E272" i="84"/>
  <c r="D272" i="84"/>
  <c r="C272" i="84"/>
  <c r="B272" i="84"/>
  <c r="A272" i="84"/>
  <c r="AF271" i="84"/>
  <c r="AE271" i="84"/>
  <c r="AD271" i="84"/>
  <c r="AC271" i="84"/>
  <c r="AB271" i="84"/>
  <c r="AA271" i="84"/>
  <c r="Z271" i="84"/>
  <c r="Y271" i="84"/>
  <c r="X271" i="84"/>
  <c r="W271" i="84"/>
  <c r="V271" i="84"/>
  <c r="U271" i="84"/>
  <c r="T271" i="84"/>
  <c r="S271" i="84"/>
  <c r="R271" i="84"/>
  <c r="Q271" i="84"/>
  <c r="P271" i="84"/>
  <c r="O271" i="84"/>
  <c r="N271" i="84"/>
  <c r="M271" i="84"/>
  <c r="L271" i="84"/>
  <c r="K271" i="84"/>
  <c r="J271" i="84"/>
  <c r="I271" i="84"/>
  <c r="H271" i="84"/>
  <c r="G271" i="84"/>
  <c r="F271" i="84"/>
  <c r="E271" i="84"/>
  <c r="D271" i="84"/>
  <c r="C271" i="84"/>
  <c r="B271" i="84"/>
  <c r="A271" i="84"/>
  <c r="AF270" i="84"/>
  <c r="AE270" i="84"/>
  <c r="AD270" i="84"/>
  <c r="AC270" i="84"/>
  <c r="AB270" i="84"/>
  <c r="AA270" i="84"/>
  <c r="Z270" i="84"/>
  <c r="Y270" i="84"/>
  <c r="X270" i="84"/>
  <c r="W270" i="84"/>
  <c r="V270" i="84"/>
  <c r="U270" i="84"/>
  <c r="T270" i="84"/>
  <c r="S270" i="84"/>
  <c r="R270" i="84"/>
  <c r="Q270" i="84"/>
  <c r="P270" i="84"/>
  <c r="O270" i="84"/>
  <c r="N270" i="84"/>
  <c r="M270" i="84"/>
  <c r="L270" i="84"/>
  <c r="K270" i="84"/>
  <c r="J270" i="84"/>
  <c r="I270" i="84"/>
  <c r="H270" i="84"/>
  <c r="G270" i="84"/>
  <c r="F270" i="84"/>
  <c r="E270" i="84"/>
  <c r="D270" i="84"/>
  <c r="C270" i="84"/>
  <c r="B270" i="84"/>
  <c r="AX249" i="84"/>
  <c r="AW249" i="84"/>
  <c r="AV249" i="84"/>
  <c r="AU249" i="84"/>
  <c r="AT249" i="84"/>
  <c r="AS249" i="84"/>
  <c r="AR249" i="84"/>
  <c r="AQ249" i="84"/>
  <c r="AP249" i="84"/>
  <c r="AO249" i="84"/>
  <c r="AN249" i="84"/>
  <c r="AM249" i="84"/>
  <c r="AL249" i="84"/>
  <c r="AK249" i="84"/>
  <c r="AJ249" i="84"/>
  <c r="AI249" i="84"/>
  <c r="AH249" i="84"/>
  <c r="AG249" i="84"/>
  <c r="AF249" i="84"/>
  <c r="AE249" i="84"/>
  <c r="AD249" i="84"/>
  <c r="AC249" i="84"/>
  <c r="AB249" i="84"/>
  <c r="AA249" i="84"/>
  <c r="Z249" i="84"/>
  <c r="Y249" i="84"/>
  <c r="X249" i="84"/>
  <c r="W249" i="84"/>
  <c r="V249" i="84"/>
  <c r="U249" i="84"/>
  <c r="T249" i="84"/>
  <c r="S245" i="84"/>
  <c r="C244" i="84"/>
  <c r="B244" i="84"/>
  <c r="AG235" i="84"/>
  <c r="AF235" i="84"/>
  <c r="AE235" i="84"/>
  <c r="AD235" i="84"/>
  <c r="AC235" i="84"/>
  <c r="AB235" i="84"/>
  <c r="AA235" i="84"/>
  <c r="Z235" i="84"/>
  <c r="Y235" i="84"/>
  <c r="X235" i="84"/>
  <c r="W235" i="84"/>
  <c r="V235" i="84"/>
  <c r="U235" i="84"/>
  <c r="T235" i="84"/>
  <c r="S235" i="84"/>
  <c r="R235" i="84"/>
  <c r="Q235" i="84"/>
  <c r="H235" i="84"/>
  <c r="G235" i="84"/>
  <c r="F235" i="84"/>
  <c r="E235" i="84"/>
  <c r="D235" i="84"/>
  <c r="C235" i="84"/>
  <c r="B235" i="84"/>
  <c r="P234" i="84"/>
  <c r="O234" i="84"/>
  <c r="N234" i="84"/>
  <c r="M234" i="84"/>
  <c r="L234" i="84"/>
  <c r="K234" i="84"/>
  <c r="J234" i="84"/>
  <c r="I234" i="84"/>
  <c r="H234" i="84"/>
  <c r="G234" i="84"/>
  <c r="F234" i="84"/>
  <c r="E234" i="84"/>
  <c r="D234" i="84"/>
  <c r="B234" i="84"/>
  <c r="P233" i="84"/>
  <c r="O233" i="84"/>
  <c r="N233" i="84"/>
  <c r="M233" i="84"/>
  <c r="L233" i="84"/>
  <c r="K233" i="84"/>
  <c r="J233" i="84"/>
  <c r="I233" i="84"/>
  <c r="H233" i="84"/>
  <c r="G233" i="84"/>
  <c r="F233" i="84"/>
  <c r="E233" i="84"/>
  <c r="D233" i="84"/>
  <c r="B233" i="84"/>
  <c r="P232" i="84"/>
  <c r="O232" i="84"/>
  <c r="N232" i="84"/>
  <c r="M232" i="84"/>
  <c r="L232" i="84"/>
  <c r="K232" i="84"/>
  <c r="J232" i="84"/>
  <c r="I232" i="84"/>
  <c r="H232" i="84"/>
  <c r="G232" i="84"/>
  <c r="F232" i="84"/>
  <c r="E232" i="84"/>
  <c r="D232" i="84"/>
  <c r="B232" i="84"/>
  <c r="H231" i="84"/>
  <c r="G231" i="84"/>
  <c r="F231" i="84"/>
  <c r="E231" i="84"/>
  <c r="D231" i="84"/>
  <c r="B231" i="84"/>
  <c r="P230" i="84"/>
  <c r="O230" i="84"/>
  <c r="N230" i="84"/>
  <c r="M230" i="84"/>
  <c r="L230" i="84"/>
  <c r="K230" i="84"/>
  <c r="J230" i="84"/>
  <c r="I230" i="84"/>
  <c r="H230" i="84"/>
  <c r="G230" i="84"/>
  <c r="F230" i="84"/>
  <c r="E230" i="84"/>
  <c r="D230" i="84"/>
  <c r="B230" i="84"/>
  <c r="P229" i="84"/>
  <c r="O229" i="84"/>
  <c r="N229" i="84"/>
  <c r="M229" i="84"/>
  <c r="L229" i="84"/>
  <c r="K229" i="84"/>
  <c r="J229" i="84"/>
  <c r="I229" i="84"/>
  <c r="H229" i="84"/>
  <c r="G229" i="84"/>
  <c r="F229" i="84"/>
  <c r="E229" i="84"/>
  <c r="D229" i="84"/>
  <c r="B229" i="84"/>
  <c r="AG227" i="84"/>
  <c r="AF227" i="84"/>
  <c r="AE227" i="84"/>
  <c r="AD227" i="84"/>
  <c r="AC227" i="84"/>
  <c r="AB227" i="84"/>
  <c r="AA227" i="84"/>
  <c r="Z227" i="84"/>
  <c r="Y227" i="84"/>
  <c r="X227" i="84"/>
  <c r="W227" i="84"/>
  <c r="V227" i="84"/>
  <c r="U227" i="84"/>
  <c r="T227" i="84"/>
  <c r="S227" i="84"/>
  <c r="R227" i="84"/>
  <c r="Q227" i="84"/>
  <c r="P227" i="84"/>
  <c r="O227" i="84"/>
  <c r="N227" i="84"/>
  <c r="M227" i="84"/>
  <c r="L227" i="84"/>
  <c r="K227" i="84"/>
  <c r="J227" i="84"/>
  <c r="I227" i="84"/>
  <c r="H227" i="84"/>
  <c r="G227" i="84"/>
  <c r="F227" i="84"/>
  <c r="E227" i="84"/>
  <c r="D227" i="84"/>
  <c r="C227" i="84"/>
  <c r="B227" i="84"/>
  <c r="AI120" i="84"/>
  <c r="AH120" i="84"/>
  <c r="AI119" i="84"/>
  <c r="AH119" i="84"/>
  <c r="AI118" i="84"/>
  <c r="AH118" i="84"/>
  <c r="AI117" i="84"/>
  <c r="AH117" i="84"/>
  <c r="AI116" i="84"/>
  <c r="AH116" i="84"/>
  <c r="AI115" i="84"/>
  <c r="AH115" i="84"/>
  <c r="AI114" i="84"/>
  <c r="AH114" i="84"/>
  <c r="AI113" i="84"/>
  <c r="AH113" i="84"/>
  <c r="L113" i="84"/>
  <c r="K113" i="84"/>
  <c r="J113" i="84"/>
  <c r="I113" i="84"/>
  <c r="H113" i="84"/>
  <c r="G113" i="84"/>
  <c r="F113" i="84"/>
  <c r="E113" i="84"/>
  <c r="AI112" i="84"/>
  <c r="AH112" i="84"/>
  <c r="AI111" i="84"/>
  <c r="AH111" i="84"/>
  <c r="AI110" i="84"/>
  <c r="AH110" i="84"/>
  <c r="AF110" i="84"/>
  <c r="AE110" i="84"/>
  <c r="AC110" i="84"/>
  <c r="AB110" i="84"/>
  <c r="AA110" i="84"/>
  <c r="Z110" i="84"/>
  <c r="Y110" i="84"/>
  <c r="X110" i="84"/>
  <c r="W110" i="84"/>
  <c r="V110" i="84"/>
  <c r="U110" i="84"/>
  <c r="T110" i="84"/>
  <c r="S110" i="84"/>
  <c r="R110" i="84"/>
  <c r="Q110" i="84"/>
  <c r="O110" i="84"/>
  <c r="N110" i="84"/>
  <c r="M110" i="84"/>
  <c r="L110" i="84"/>
  <c r="K110" i="84"/>
  <c r="J110" i="84"/>
  <c r="I110" i="84"/>
  <c r="H110" i="84"/>
  <c r="G110" i="84"/>
  <c r="F110" i="84"/>
  <c r="E110" i="84"/>
  <c r="D110" i="84"/>
  <c r="C110" i="84"/>
  <c r="B110" i="84"/>
  <c r="AI109" i="84"/>
  <c r="AH109" i="84"/>
  <c r="AI108" i="84"/>
  <c r="AH108" i="84"/>
  <c r="AI107" i="84"/>
  <c r="AH107" i="84"/>
  <c r="AI106" i="84"/>
  <c r="AH106" i="84"/>
  <c r="AI105" i="84"/>
  <c r="AH105" i="84"/>
  <c r="AI104" i="84"/>
  <c r="AH104" i="84"/>
  <c r="AI103" i="84"/>
  <c r="AH103" i="84"/>
  <c r="AI102" i="84"/>
  <c r="AH102" i="84"/>
  <c r="AI101" i="84"/>
  <c r="AH101" i="84"/>
  <c r="AI100" i="84"/>
  <c r="AH100" i="84"/>
  <c r="AF100" i="84"/>
  <c r="AE100" i="84"/>
  <c r="AD100" i="84"/>
  <c r="AC100" i="84"/>
  <c r="AB100" i="84"/>
  <c r="AA100" i="84"/>
  <c r="Z100" i="84"/>
  <c r="Y100" i="84"/>
  <c r="X100" i="84"/>
  <c r="W100" i="84"/>
  <c r="V100" i="84"/>
  <c r="U100" i="84"/>
  <c r="T100" i="84"/>
  <c r="S100" i="84"/>
  <c r="R100" i="84"/>
  <c r="Q100" i="84"/>
  <c r="P100" i="84"/>
  <c r="O100" i="84"/>
  <c r="N100" i="84"/>
  <c r="M100" i="84"/>
  <c r="L100" i="84"/>
  <c r="K100" i="84"/>
  <c r="J100" i="84"/>
  <c r="I100" i="84"/>
  <c r="H100" i="84"/>
  <c r="G100" i="84"/>
  <c r="F100" i="84"/>
  <c r="E100" i="84"/>
  <c r="D100" i="84"/>
  <c r="C100" i="84"/>
  <c r="B100" i="84"/>
  <c r="AI99" i="84"/>
  <c r="AH99" i="84"/>
  <c r="AF99" i="84"/>
  <c r="AE99" i="84"/>
  <c r="AD99" i="84"/>
  <c r="AC99" i="84"/>
  <c r="AB99" i="84"/>
  <c r="AA99" i="84"/>
  <c r="Z99" i="84"/>
  <c r="Y99" i="84"/>
  <c r="X99" i="84"/>
  <c r="W99" i="84"/>
  <c r="V99" i="84"/>
  <c r="U99" i="84"/>
  <c r="T99" i="84"/>
  <c r="S99" i="84"/>
  <c r="R99" i="84"/>
  <c r="Q99" i="84"/>
  <c r="P99" i="84"/>
  <c r="O99" i="84"/>
  <c r="N99" i="84"/>
  <c r="M99" i="84"/>
  <c r="L99" i="84"/>
  <c r="K99" i="84"/>
  <c r="J99" i="84"/>
  <c r="I99" i="84"/>
  <c r="H99" i="84"/>
  <c r="G99" i="84"/>
  <c r="F99" i="84"/>
  <c r="E99" i="84"/>
  <c r="D99" i="84"/>
  <c r="C99" i="84"/>
  <c r="B99" i="84"/>
  <c r="AI98" i="84"/>
  <c r="AH98" i="84"/>
  <c r="AI97" i="84"/>
  <c r="AH97" i="84"/>
  <c r="AI96" i="84"/>
  <c r="AH96" i="84"/>
  <c r="AI95" i="84"/>
  <c r="AH95" i="84"/>
  <c r="AI94" i="84"/>
  <c r="AH94" i="84"/>
  <c r="AI93" i="84"/>
  <c r="AH93" i="84"/>
  <c r="AI92" i="84"/>
  <c r="AH92" i="84"/>
  <c r="AF92" i="84"/>
  <c r="AE92" i="84"/>
  <c r="AD92" i="84"/>
  <c r="AC92" i="84"/>
  <c r="AB92" i="84"/>
  <c r="AA92" i="84"/>
  <c r="Z92" i="84"/>
  <c r="Y92" i="84"/>
  <c r="X92" i="84"/>
  <c r="W92" i="84"/>
  <c r="V92" i="84"/>
  <c r="U92" i="84"/>
  <c r="T92" i="84"/>
  <c r="S92" i="84"/>
  <c r="R92" i="84"/>
  <c r="Q92" i="84"/>
  <c r="P92" i="84"/>
  <c r="O92" i="84"/>
  <c r="N92" i="84"/>
  <c r="M92" i="84"/>
  <c r="L92" i="84"/>
  <c r="K92" i="84"/>
  <c r="J92" i="84"/>
  <c r="I92" i="84"/>
  <c r="H92" i="84"/>
  <c r="G92" i="84"/>
  <c r="F92" i="84"/>
  <c r="E92" i="84"/>
  <c r="D92" i="84"/>
  <c r="C92" i="84"/>
  <c r="B92" i="84"/>
  <c r="AI91" i="84"/>
  <c r="AH91" i="84"/>
  <c r="AG91" i="84"/>
  <c r="AF91" i="84"/>
  <c r="AE91" i="84"/>
  <c r="AD91" i="84"/>
  <c r="AC91" i="84"/>
  <c r="AB91" i="84"/>
  <c r="AA91" i="84"/>
  <c r="Z91" i="84"/>
  <c r="Y91" i="84"/>
  <c r="X91" i="84"/>
  <c r="W91" i="84"/>
  <c r="V91" i="84"/>
  <c r="U91" i="84"/>
  <c r="T91" i="84"/>
  <c r="S91" i="84"/>
  <c r="R91" i="84"/>
  <c r="Q91" i="84"/>
  <c r="P91" i="84"/>
  <c r="O91" i="84"/>
  <c r="N91" i="84"/>
  <c r="M91" i="84"/>
  <c r="L91" i="84"/>
  <c r="K91" i="84"/>
  <c r="J91" i="84"/>
  <c r="I91" i="84"/>
  <c r="H91" i="84"/>
  <c r="G91" i="84"/>
  <c r="F91" i="84"/>
  <c r="E91" i="84"/>
  <c r="D91" i="84"/>
  <c r="C91" i="84"/>
  <c r="B91" i="84"/>
  <c r="AI90" i="84"/>
  <c r="AH90" i="84"/>
  <c r="AI89" i="84"/>
  <c r="AH89" i="84"/>
  <c r="AG89" i="84"/>
  <c r="AF89" i="84"/>
  <c r="AE89" i="84"/>
  <c r="AD89" i="84"/>
  <c r="AC89" i="84"/>
  <c r="AB89" i="84"/>
  <c r="AA89" i="84"/>
  <c r="Z89" i="84"/>
  <c r="Y89" i="84"/>
  <c r="X89" i="84"/>
  <c r="W89" i="84"/>
  <c r="V89" i="84"/>
  <c r="U89" i="84"/>
  <c r="T89" i="84"/>
  <c r="S89" i="84"/>
  <c r="R89" i="84"/>
  <c r="Q89" i="84"/>
  <c r="P89" i="84"/>
  <c r="O89" i="84"/>
  <c r="N89" i="84"/>
  <c r="M89" i="84"/>
  <c r="L89" i="84"/>
  <c r="K89" i="84"/>
  <c r="J89" i="84"/>
  <c r="I89" i="84"/>
  <c r="H89" i="84"/>
  <c r="G89" i="84"/>
  <c r="F89" i="84"/>
  <c r="E89" i="84"/>
  <c r="D89" i="84"/>
  <c r="C89" i="84"/>
  <c r="B89" i="84"/>
  <c r="AI88" i="84"/>
  <c r="AH88" i="84"/>
  <c r="AG88" i="84"/>
  <c r="AI87" i="84"/>
  <c r="AH87" i="84"/>
  <c r="AI86" i="84"/>
  <c r="AH86" i="84"/>
  <c r="AI85" i="84"/>
  <c r="AH85" i="84"/>
  <c r="AI84" i="84"/>
  <c r="AH84" i="84"/>
  <c r="AG84" i="84"/>
  <c r="AF84" i="84"/>
  <c r="AE84" i="84"/>
  <c r="AD84" i="84"/>
  <c r="AC84" i="84"/>
  <c r="AB84" i="84"/>
  <c r="AA84" i="84"/>
  <c r="Z84" i="84"/>
  <c r="Y84" i="84"/>
  <c r="X84" i="84"/>
  <c r="W84" i="84"/>
  <c r="V84" i="84"/>
  <c r="U84" i="84"/>
  <c r="T84" i="84"/>
  <c r="S84" i="84"/>
  <c r="R84" i="84"/>
  <c r="Q84" i="84"/>
  <c r="P84" i="84"/>
  <c r="O84" i="84"/>
  <c r="N84" i="84"/>
  <c r="M84" i="84"/>
  <c r="L84" i="84"/>
  <c r="K84" i="84"/>
  <c r="J84" i="84"/>
  <c r="I84" i="84"/>
  <c r="H84" i="84"/>
  <c r="G84" i="84"/>
  <c r="F84" i="84"/>
  <c r="E84" i="84"/>
  <c r="D84" i="84"/>
  <c r="C84" i="84"/>
  <c r="B84" i="84"/>
  <c r="AI83" i="84"/>
  <c r="AH83" i="84"/>
  <c r="AI82" i="84"/>
  <c r="AH82" i="84"/>
  <c r="AI81" i="84"/>
  <c r="AH81" i="84"/>
  <c r="AI80" i="84"/>
  <c r="AH80" i="84"/>
  <c r="AI79" i="84"/>
  <c r="AH79" i="84"/>
  <c r="AI78" i="84"/>
  <c r="AH78" i="84"/>
  <c r="AI77" i="84"/>
  <c r="AH77" i="84"/>
  <c r="AI76" i="84"/>
  <c r="AH76" i="84"/>
  <c r="AI75" i="84"/>
  <c r="AH75" i="84"/>
  <c r="AI74" i="84"/>
  <c r="AH74" i="84"/>
  <c r="AI73" i="84"/>
  <c r="AH73" i="84"/>
  <c r="AI72" i="84"/>
  <c r="AH72" i="84"/>
  <c r="AG72" i="84"/>
  <c r="AF72" i="84"/>
  <c r="AE72" i="84"/>
  <c r="AD72" i="84"/>
  <c r="AC72" i="84"/>
  <c r="AB72" i="84"/>
  <c r="AA72" i="84"/>
  <c r="Z72" i="84"/>
  <c r="Y72" i="84"/>
  <c r="X72" i="84"/>
  <c r="W72" i="84"/>
  <c r="V72" i="84"/>
  <c r="U72" i="84"/>
  <c r="T72" i="84"/>
  <c r="S72" i="84"/>
  <c r="R72" i="84"/>
  <c r="Q72" i="84"/>
  <c r="P72" i="84"/>
  <c r="O72" i="84"/>
  <c r="N72" i="84"/>
  <c r="M72" i="84"/>
  <c r="L72" i="84"/>
  <c r="C72" i="84"/>
  <c r="B72" i="84"/>
  <c r="AI71" i="84"/>
  <c r="AH71" i="84"/>
  <c r="AI70" i="84"/>
  <c r="AH70" i="84"/>
  <c r="AI69" i="84"/>
  <c r="AH69" i="84"/>
  <c r="AI68" i="84"/>
  <c r="AH68" i="84"/>
  <c r="AG68" i="84"/>
  <c r="AF68" i="84"/>
  <c r="AE68" i="84"/>
  <c r="AD68" i="84"/>
  <c r="AC68" i="84"/>
  <c r="AB68" i="84"/>
  <c r="AA68" i="84"/>
  <c r="Z68" i="84"/>
  <c r="Y68" i="84"/>
  <c r="X68" i="84"/>
  <c r="W68" i="84"/>
  <c r="V68" i="84"/>
  <c r="U68" i="84"/>
  <c r="T68" i="84"/>
  <c r="S68" i="84"/>
  <c r="R68" i="84"/>
  <c r="Q68" i="84"/>
  <c r="P68" i="84"/>
  <c r="O68" i="84"/>
  <c r="N68" i="84"/>
  <c r="M68" i="84"/>
  <c r="L68" i="84"/>
  <c r="K68" i="84"/>
  <c r="J68" i="84"/>
  <c r="I68" i="84"/>
  <c r="H68" i="84"/>
  <c r="G68" i="84"/>
  <c r="F68" i="84"/>
  <c r="E68" i="84"/>
  <c r="D68" i="84"/>
  <c r="C68" i="84"/>
  <c r="B68" i="84"/>
  <c r="AI67" i="84"/>
  <c r="AH67" i="84"/>
  <c r="AG67" i="84"/>
  <c r="AI66" i="84"/>
  <c r="AH66" i="84"/>
  <c r="AI65" i="84"/>
  <c r="AH65" i="84"/>
  <c r="AI64" i="84"/>
  <c r="AH64" i="84"/>
  <c r="AI63" i="84"/>
  <c r="AH63" i="84"/>
  <c r="AI62" i="84"/>
  <c r="AH62" i="84"/>
  <c r="AI61" i="84"/>
  <c r="AH61" i="84"/>
  <c r="AI60" i="84"/>
  <c r="AH60" i="84"/>
  <c r="AI59" i="84"/>
  <c r="AH59" i="84"/>
  <c r="AI58" i="84"/>
  <c r="AH58" i="84"/>
  <c r="AI57" i="84"/>
  <c r="AH57" i="84"/>
  <c r="AI56" i="84"/>
  <c r="AH56" i="84"/>
  <c r="AI55" i="84"/>
  <c r="AH55" i="84"/>
  <c r="AI54" i="84"/>
  <c r="AH54" i="84"/>
  <c r="AG54" i="84"/>
  <c r="AF54" i="84"/>
  <c r="AE54" i="84"/>
  <c r="AD54" i="84"/>
  <c r="AC54" i="84"/>
  <c r="AB54" i="84"/>
  <c r="AA54" i="84"/>
  <c r="Z54" i="84"/>
  <c r="Y54" i="84"/>
  <c r="X54" i="84"/>
  <c r="W54" i="84"/>
  <c r="V54" i="84"/>
  <c r="U54" i="84"/>
  <c r="T54" i="84"/>
  <c r="S54" i="84"/>
  <c r="R54" i="84"/>
  <c r="Q54" i="84"/>
  <c r="P54" i="84"/>
  <c r="O54" i="84"/>
  <c r="N54" i="84"/>
  <c r="M54" i="84"/>
  <c r="L54" i="84"/>
  <c r="K54" i="84"/>
  <c r="J54" i="84"/>
  <c r="I54" i="84"/>
  <c r="H54" i="84"/>
  <c r="G54" i="84"/>
  <c r="F54" i="84"/>
  <c r="E54" i="84"/>
  <c r="D54" i="84"/>
  <c r="C54" i="84"/>
  <c r="B54" i="84"/>
  <c r="AI53" i="84"/>
  <c r="AH53" i="84"/>
  <c r="AI52" i="84"/>
  <c r="AH52" i="84"/>
  <c r="AI51" i="84"/>
  <c r="AH51" i="84"/>
  <c r="AI50" i="84"/>
  <c r="AH50" i="84"/>
  <c r="AG50" i="84"/>
  <c r="AF50" i="84"/>
  <c r="AE50" i="84"/>
  <c r="AD50" i="84"/>
  <c r="AC50" i="84"/>
  <c r="AB50" i="84"/>
  <c r="AA50" i="84"/>
  <c r="Z50" i="84"/>
  <c r="Y50" i="84"/>
  <c r="X50" i="84"/>
  <c r="W50" i="84"/>
  <c r="V50" i="84"/>
  <c r="U50" i="84"/>
  <c r="T50" i="84"/>
  <c r="S50" i="84"/>
  <c r="R50" i="84"/>
  <c r="Q50" i="84"/>
  <c r="P50" i="84"/>
  <c r="O50" i="84"/>
  <c r="N50" i="84"/>
  <c r="M50" i="84"/>
  <c r="L50" i="84"/>
  <c r="K50" i="84"/>
  <c r="J50" i="84"/>
  <c r="I50" i="84"/>
  <c r="H50" i="84"/>
  <c r="G50" i="84"/>
  <c r="F50" i="84"/>
  <c r="E50" i="84"/>
  <c r="D50" i="84"/>
  <c r="C50" i="84"/>
  <c r="B50" i="84"/>
  <c r="AI49" i="84"/>
  <c r="AH49" i="84"/>
  <c r="AF49" i="84"/>
  <c r="AE49" i="84"/>
  <c r="AD49" i="84"/>
  <c r="AC49" i="84"/>
  <c r="AB49" i="84"/>
  <c r="S49" i="84"/>
  <c r="R49" i="84"/>
  <c r="Q49" i="84"/>
  <c r="P49" i="84"/>
  <c r="O49" i="84"/>
  <c r="N49" i="84"/>
  <c r="M49" i="84"/>
  <c r="L49" i="84"/>
  <c r="K49" i="84"/>
  <c r="J49" i="84"/>
  <c r="I49" i="84"/>
  <c r="H49" i="84"/>
  <c r="G49" i="84"/>
  <c r="F49" i="84"/>
  <c r="E49" i="84"/>
  <c r="AI48" i="84"/>
  <c r="AH48" i="84"/>
  <c r="AI47" i="84"/>
  <c r="AH47" i="84"/>
  <c r="AI46" i="84"/>
  <c r="AH46" i="84"/>
  <c r="AI45" i="84"/>
  <c r="AH45" i="84"/>
  <c r="AI44" i="84"/>
  <c r="AH44" i="84"/>
  <c r="AI43" i="84"/>
  <c r="AH43" i="84"/>
  <c r="AI42" i="84"/>
  <c r="AH42" i="84"/>
  <c r="AI41" i="84"/>
  <c r="AH41" i="84"/>
  <c r="AI40" i="84"/>
  <c r="AH40" i="84"/>
  <c r="AI39" i="84"/>
  <c r="AH39" i="84"/>
  <c r="AI38" i="84"/>
  <c r="AH38" i="84"/>
  <c r="AI37" i="84"/>
  <c r="AH37" i="84"/>
  <c r="AI36" i="84"/>
  <c r="AH36" i="84"/>
  <c r="AI35" i="84"/>
  <c r="AH35" i="84"/>
  <c r="AI34" i="84"/>
  <c r="AH34" i="84"/>
  <c r="AI33" i="84"/>
  <c r="AH33" i="84"/>
  <c r="AI32" i="84"/>
  <c r="AH32" i="84"/>
  <c r="AI31" i="84"/>
  <c r="AH31" i="84"/>
  <c r="AI30" i="84"/>
  <c r="AH30" i="84"/>
  <c r="AI29" i="84"/>
  <c r="AH29" i="84"/>
  <c r="AI28" i="84"/>
  <c r="AH28" i="84"/>
  <c r="AI27" i="84"/>
  <c r="AH27" i="84"/>
  <c r="AI26" i="84"/>
  <c r="AH26" i="84"/>
  <c r="AI25" i="84"/>
  <c r="AH25" i="84"/>
  <c r="AI24" i="84"/>
  <c r="AH24" i="84"/>
  <c r="AI23" i="84"/>
  <c r="AH23" i="84"/>
  <c r="AI22" i="84"/>
  <c r="AH22" i="84"/>
  <c r="AI21" i="84"/>
  <c r="AH21" i="84"/>
  <c r="AI20" i="84"/>
  <c r="AH20" i="84"/>
  <c r="AI19" i="84"/>
  <c r="AH19" i="84"/>
  <c r="AI18" i="84"/>
  <c r="AH18" i="84"/>
  <c r="AI17" i="84"/>
  <c r="AH17" i="84"/>
  <c r="AI16" i="84"/>
  <c r="AH16" i="84"/>
  <c r="AI15" i="84"/>
  <c r="AH15" i="84"/>
  <c r="AI14" i="84"/>
  <c r="AH14" i="84"/>
  <c r="AI13" i="84"/>
  <c r="AH13" i="84"/>
  <c r="AI12" i="84"/>
  <c r="AH12" i="84"/>
  <c r="AI11" i="84"/>
  <c r="AH11" i="84"/>
  <c r="AF7" i="84"/>
  <c r="AE7" i="84"/>
  <c r="AD7" i="84"/>
  <c r="AC7" i="84"/>
  <c r="AB7" i="84"/>
  <c r="AA7" i="84"/>
  <c r="Z7" i="84"/>
  <c r="Y7" i="84"/>
  <c r="X7" i="84"/>
  <c r="W7" i="84"/>
  <c r="V7" i="84"/>
  <c r="U7" i="84"/>
  <c r="T7" i="84"/>
  <c r="S7" i="84"/>
  <c r="R7" i="84"/>
  <c r="Q7" i="84"/>
  <c r="P7" i="84"/>
  <c r="O7" i="84"/>
  <c r="N7" i="84"/>
  <c r="M7" i="84"/>
  <c r="L7" i="84"/>
  <c r="K7" i="84"/>
  <c r="J7" i="84"/>
  <c r="I7" i="84"/>
  <c r="H7" i="84"/>
  <c r="G7" i="84"/>
  <c r="F7" i="84"/>
  <c r="E7" i="84"/>
  <c r="D7" i="84"/>
  <c r="C7" i="84"/>
  <c r="B7" i="84"/>
  <c r="A7" i="84"/>
  <c r="AG6" i="84"/>
  <c r="K6" i="84"/>
  <c r="AF5" i="84"/>
  <c r="AE5" i="84"/>
  <c r="AD5" i="84"/>
  <c r="AC5" i="84"/>
  <c r="AB5" i="84"/>
  <c r="AA5" i="84"/>
  <c r="Z5" i="84"/>
  <c r="Y5" i="84"/>
  <c r="X5" i="84"/>
  <c r="W5" i="84"/>
  <c r="V5" i="84"/>
  <c r="U5" i="84"/>
  <c r="T5" i="84"/>
  <c r="S5" i="84"/>
  <c r="R5" i="84"/>
  <c r="Q5" i="84"/>
  <c r="P5" i="84"/>
  <c r="O5" i="84"/>
  <c r="N5" i="84"/>
  <c r="M5" i="84"/>
  <c r="L5" i="84"/>
  <c r="K5" i="84"/>
  <c r="J5" i="84"/>
  <c r="I5" i="84"/>
  <c r="H5" i="84"/>
  <c r="G5" i="84"/>
  <c r="F5" i="84"/>
  <c r="E5" i="84"/>
  <c r="D5" i="84"/>
  <c r="C5" i="84"/>
  <c r="B5" i="84"/>
  <c r="AG4" i="84"/>
  <c r="K4" i="84"/>
  <c r="E4" i="84"/>
  <c r="H4" i="84" s="1"/>
  <c r="B4" i="84"/>
  <c r="S246" i="84" s="1"/>
  <c r="AG3" i="84"/>
  <c r="AG2" i="84"/>
  <c r="AF274" i="83"/>
  <c r="AE274" i="83"/>
  <c r="AD274" i="83"/>
  <c r="AC274" i="83"/>
  <c r="AB274" i="83"/>
  <c r="AA274" i="83"/>
  <c r="Z274" i="83"/>
  <c r="Y274" i="83"/>
  <c r="X274" i="83"/>
  <c r="W274" i="83"/>
  <c r="V274" i="83"/>
  <c r="U274" i="83"/>
  <c r="T274" i="83"/>
  <c r="S274" i="83"/>
  <c r="R274" i="83"/>
  <c r="Q274" i="83"/>
  <c r="P274" i="83"/>
  <c r="O274" i="83"/>
  <c r="N274" i="83"/>
  <c r="M274" i="83"/>
  <c r="L274" i="83"/>
  <c r="K274" i="83"/>
  <c r="J274" i="83"/>
  <c r="I274" i="83"/>
  <c r="H274" i="83"/>
  <c r="G274" i="83"/>
  <c r="F274" i="83"/>
  <c r="E274" i="83"/>
  <c r="D274" i="83"/>
  <c r="C274" i="83"/>
  <c r="B274" i="83"/>
  <c r="A274" i="83"/>
  <c r="AF273" i="83"/>
  <c r="AE273" i="83"/>
  <c r="AD273" i="83"/>
  <c r="AC273" i="83"/>
  <c r="AB273" i="83"/>
  <c r="AA273" i="83"/>
  <c r="Z273" i="83"/>
  <c r="Y273" i="83"/>
  <c r="X273" i="83"/>
  <c r="W273" i="83"/>
  <c r="V273" i="83"/>
  <c r="U273" i="83"/>
  <c r="T273" i="83"/>
  <c r="S273" i="83"/>
  <c r="R273" i="83"/>
  <c r="Q273" i="83"/>
  <c r="P273" i="83"/>
  <c r="O273" i="83"/>
  <c r="N273" i="83"/>
  <c r="M273" i="83"/>
  <c r="L273" i="83"/>
  <c r="K273" i="83"/>
  <c r="J273" i="83"/>
  <c r="I273" i="83"/>
  <c r="H273" i="83"/>
  <c r="G273" i="83"/>
  <c r="F273" i="83"/>
  <c r="E273" i="83"/>
  <c r="D273" i="83"/>
  <c r="C273" i="83"/>
  <c r="B273" i="83"/>
  <c r="A273" i="83"/>
  <c r="AF272" i="83"/>
  <c r="AE272" i="83"/>
  <c r="AD272" i="83"/>
  <c r="AC272" i="83"/>
  <c r="AB272" i="83"/>
  <c r="AA272" i="83"/>
  <c r="Z272" i="83"/>
  <c r="Y272" i="83"/>
  <c r="X272" i="83"/>
  <c r="W272" i="83"/>
  <c r="V272" i="83"/>
  <c r="U272" i="83"/>
  <c r="T272" i="83"/>
  <c r="S272" i="83"/>
  <c r="R272" i="83"/>
  <c r="Q272" i="83"/>
  <c r="P272" i="83"/>
  <c r="O272" i="83"/>
  <c r="N272" i="83"/>
  <c r="M272" i="83"/>
  <c r="L272" i="83"/>
  <c r="K272" i="83"/>
  <c r="J272" i="83"/>
  <c r="I272" i="83"/>
  <c r="H272" i="83"/>
  <c r="G272" i="83"/>
  <c r="F272" i="83"/>
  <c r="E272" i="83"/>
  <c r="D272" i="83"/>
  <c r="C272" i="83"/>
  <c r="B272" i="83"/>
  <c r="A272" i="83"/>
  <c r="AF271" i="83"/>
  <c r="AE271" i="83"/>
  <c r="AD271" i="83"/>
  <c r="AC271" i="83"/>
  <c r="AB271" i="83"/>
  <c r="AA271" i="83"/>
  <c r="Z271" i="83"/>
  <c r="Y271" i="83"/>
  <c r="X271" i="83"/>
  <c r="W271" i="83"/>
  <c r="V271" i="83"/>
  <c r="U271" i="83"/>
  <c r="T271" i="83"/>
  <c r="S271" i="83"/>
  <c r="R271" i="83"/>
  <c r="Q271" i="83"/>
  <c r="P271" i="83"/>
  <c r="O271" i="83"/>
  <c r="N271" i="83"/>
  <c r="M271" i="83"/>
  <c r="L271" i="83"/>
  <c r="K271" i="83"/>
  <c r="J271" i="83"/>
  <c r="I271" i="83"/>
  <c r="H271" i="83"/>
  <c r="G271" i="83"/>
  <c r="F271" i="83"/>
  <c r="E271" i="83"/>
  <c r="D271" i="83"/>
  <c r="C271" i="83"/>
  <c r="B271" i="83"/>
  <c r="A271" i="83"/>
  <c r="AF270" i="83"/>
  <c r="AE270" i="83"/>
  <c r="AD270" i="83"/>
  <c r="AC270" i="83"/>
  <c r="AB270" i="83"/>
  <c r="AA270" i="83"/>
  <c r="Z270" i="83"/>
  <c r="Y270" i="83"/>
  <c r="X270" i="83"/>
  <c r="W270" i="83"/>
  <c r="V270" i="83"/>
  <c r="U270" i="83"/>
  <c r="T270" i="83"/>
  <c r="S270" i="83"/>
  <c r="R270" i="83"/>
  <c r="Q270" i="83"/>
  <c r="P270" i="83"/>
  <c r="O270" i="83"/>
  <c r="N270" i="83"/>
  <c r="M270" i="83"/>
  <c r="L270" i="83"/>
  <c r="K270" i="83"/>
  <c r="J270" i="83"/>
  <c r="I270" i="83"/>
  <c r="H270" i="83"/>
  <c r="G270" i="83"/>
  <c r="F270" i="83"/>
  <c r="E270" i="83"/>
  <c r="D270" i="83"/>
  <c r="C270" i="83"/>
  <c r="B270" i="83"/>
  <c r="AX249" i="83"/>
  <c r="AW249" i="83"/>
  <c r="AV249" i="83"/>
  <c r="AU249" i="83"/>
  <c r="AT249" i="83"/>
  <c r="AS249" i="83"/>
  <c r="AR249" i="83"/>
  <c r="AQ249" i="83"/>
  <c r="AP249" i="83"/>
  <c r="AO249" i="83"/>
  <c r="AN249" i="83"/>
  <c r="AM249" i="83"/>
  <c r="AL249" i="83"/>
  <c r="AK249" i="83"/>
  <c r="AJ249" i="83"/>
  <c r="AI249" i="83"/>
  <c r="AH249" i="83"/>
  <c r="AG249" i="83"/>
  <c r="AF249" i="83"/>
  <c r="AE249" i="83"/>
  <c r="AD249" i="83"/>
  <c r="AC249" i="83"/>
  <c r="AB249" i="83"/>
  <c r="AA249" i="83"/>
  <c r="Z249" i="83"/>
  <c r="Y249" i="83"/>
  <c r="X249" i="83"/>
  <c r="W249" i="83"/>
  <c r="V249" i="83"/>
  <c r="U249" i="83"/>
  <c r="T249" i="83"/>
  <c r="S245" i="83"/>
  <c r="C244" i="83"/>
  <c r="B244" i="83"/>
  <c r="AG235" i="83"/>
  <c r="AF235" i="83"/>
  <c r="AE235" i="83"/>
  <c r="AD235" i="83"/>
  <c r="AC235" i="83"/>
  <c r="AB235" i="83"/>
  <c r="AA235" i="83"/>
  <c r="Z235" i="83"/>
  <c r="Y235" i="83"/>
  <c r="X235" i="83"/>
  <c r="W235" i="83"/>
  <c r="V235" i="83"/>
  <c r="U235" i="83"/>
  <c r="T235" i="83"/>
  <c r="S235" i="83"/>
  <c r="R235" i="83"/>
  <c r="Q235" i="83"/>
  <c r="H235" i="83"/>
  <c r="G235" i="83"/>
  <c r="F235" i="83"/>
  <c r="E235" i="83"/>
  <c r="D235" i="83"/>
  <c r="C235" i="83"/>
  <c r="B235" i="83"/>
  <c r="P234" i="83"/>
  <c r="O234" i="83"/>
  <c r="N234" i="83"/>
  <c r="M234" i="83"/>
  <c r="L234" i="83"/>
  <c r="K234" i="83"/>
  <c r="J234" i="83"/>
  <c r="I234" i="83"/>
  <c r="H234" i="83"/>
  <c r="G234" i="83"/>
  <c r="F234" i="83"/>
  <c r="E234" i="83"/>
  <c r="D234" i="83"/>
  <c r="B234" i="83"/>
  <c r="P233" i="83"/>
  <c r="O233" i="83"/>
  <c r="N233" i="83"/>
  <c r="M233" i="83"/>
  <c r="L233" i="83"/>
  <c r="K233" i="83"/>
  <c r="J233" i="83"/>
  <c r="I233" i="83"/>
  <c r="H233" i="83"/>
  <c r="G233" i="83"/>
  <c r="F233" i="83"/>
  <c r="E233" i="83"/>
  <c r="D233" i="83"/>
  <c r="B233" i="83"/>
  <c r="P232" i="83"/>
  <c r="O232" i="83"/>
  <c r="N232" i="83"/>
  <c r="M232" i="83"/>
  <c r="L232" i="83"/>
  <c r="K232" i="83"/>
  <c r="J232" i="83"/>
  <c r="I232" i="83"/>
  <c r="H232" i="83"/>
  <c r="G232" i="83"/>
  <c r="F232" i="83"/>
  <c r="E232" i="83"/>
  <c r="D232" i="83"/>
  <c r="B232" i="83"/>
  <c r="H231" i="83"/>
  <c r="G231" i="83"/>
  <c r="F231" i="83"/>
  <c r="E231" i="83"/>
  <c r="D231" i="83"/>
  <c r="B231" i="83"/>
  <c r="P230" i="83"/>
  <c r="O230" i="83"/>
  <c r="N230" i="83"/>
  <c r="M230" i="83"/>
  <c r="L230" i="83"/>
  <c r="K230" i="83"/>
  <c r="J230" i="83"/>
  <c r="I230" i="83"/>
  <c r="H230" i="83"/>
  <c r="G230" i="83"/>
  <c r="F230" i="83"/>
  <c r="E230" i="83"/>
  <c r="D230" i="83"/>
  <c r="B230" i="83"/>
  <c r="P229" i="83"/>
  <c r="O229" i="83"/>
  <c r="N229" i="83"/>
  <c r="M229" i="83"/>
  <c r="L229" i="83"/>
  <c r="K229" i="83"/>
  <c r="J229" i="83"/>
  <c r="I229" i="83"/>
  <c r="H229" i="83"/>
  <c r="G229" i="83"/>
  <c r="F229" i="83"/>
  <c r="E229" i="83"/>
  <c r="D229" i="83"/>
  <c r="B229" i="83"/>
  <c r="AG227" i="83"/>
  <c r="AF227" i="83"/>
  <c r="AE227" i="83"/>
  <c r="AD227" i="83"/>
  <c r="AC227" i="83"/>
  <c r="AB227" i="83"/>
  <c r="AA227" i="83"/>
  <c r="Z227" i="83"/>
  <c r="Y227" i="83"/>
  <c r="X227" i="83"/>
  <c r="W227" i="83"/>
  <c r="V227" i="83"/>
  <c r="U227" i="83"/>
  <c r="T227" i="83"/>
  <c r="S227" i="83"/>
  <c r="R227" i="83"/>
  <c r="Q227" i="83"/>
  <c r="P227" i="83"/>
  <c r="O227" i="83"/>
  <c r="N227" i="83"/>
  <c r="M227" i="83"/>
  <c r="L227" i="83"/>
  <c r="K227" i="83"/>
  <c r="J227" i="83"/>
  <c r="I227" i="83"/>
  <c r="H227" i="83"/>
  <c r="G227" i="83"/>
  <c r="F227" i="83"/>
  <c r="E227" i="83"/>
  <c r="D227" i="83"/>
  <c r="C227" i="83"/>
  <c r="B227" i="83"/>
  <c r="AI120" i="83"/>
  <c r="AH120" i="83"/>
  <c r="AI119" i="83"/>
  <c r="AH119" i="83"/>
  <c r="AI118" i="83"/>
  <c r="AH118" i="83"/>
  <c r="AI117" i="83"/>
  <c r="AH117" i="83"/>
  <c r="AI116" i="83"/>
  <c r="AH116" i="83"/>
  <c r="AI115" i="83"/>
  <c r="AH115" i="83"/>
  <c r="AI114" i="83"/>
  <c r="AH114" i="83"/>
  <c r="AI113" i="83"/>
  <c r="AH113" i="83"/>
  <c r="M113" i="83"/>
  <c r="E113" i="83"/>
  <c r="AI112" i="83"/>
  <c r="AH112" i="83"/>
  <c r="AI111" i="83"/>
  <c r="AH111" i="83"/>
  <c r="AI110" i="83"/>
  <c r="AH110" i="83"/>
  <c r="AF110" i="83"/>
  <c r="AE110" i="83"/>
  <c r="AC110" i="83"/>
  <c r="AB110" i="83"/>
  <c r="AA110" i="83"/>
  <c r="Z110" i="83"/>
  <c r="Y110" i="83"/>
  <c r="X110" i="83"/>
  <c r="W110" i="83"/>
  <c r="V110" i="83"/>
  <c r="U110" i="83"/>
  <c r="T110" i="83"/>
  <c r="S110" i="83"/>
  <c r="R110" i="83"/>
  <c r="Q110" i="83"/>
  <c r="O110" i="83"/>
  <c r="N110" i="83"/>
  <c r="M110" i="83"/>
  <c r="L110" i="83"/>
  <c r="K110" i="83"/>
  <c r="J110" i="83"/>
  <c r="I110" i="83"/>
  <c r="H110" i="83"/>
  <c r="G110" i="83"/>
  <c r="F110" i="83"/>
  <c r="E110" i="83"/>
  <c r="D110" i="83"/>
  <c r="C110" i="83"/>
  <c r="B110" i="83"/>
  <c r="AI109" i="83"/>
  <c r="AH109" i="83"/>
  <c r="AI108" i="83"/>
  <c r="AH108" i="83"/>
  <c r="AI107" i="83"/>
  <c r="AH107" i="83"/>
  <c r="AI106" i="83"/>
  <c r="AH106" i="83"/>
  <c r="AI105" i="83"/>
  <c r="AH105" i="83"/>
  <c r="AI104" i="83"/>
  <c r="AH104" i="83"/>
  <c r="AI103" i="83"/>
  <c r="AH103" i="83"/>
  <c r="AI102" i="83"/>
  <c r="AH102" i="83"/>
  <c r="AI101" i="83"/>
  <c r="AH101" i="83"/>
  <c r="AI100" i="83"/>
  <c r="AH100" i="83"/>
  <c r="AF100" i="83"/>
  <c r="AE100" i="83"/>
  <c r="AD100" i="83"/>
  <c r="AC100" i="83"/>
  <c r="AB100" i="83"/>
  <c r="AA100" i="83"/>
  <c r="Z100" i="83"/>
  <c r="Y100" i="83"/>
  <c r="X100" i="83"/>
  <c r="W100" i="83"/>
  <c r="V100" i="83"/>
  <c r="U100" i="83"/>
  <c r="T100" i="83"/>
  <c r="S100" i="83"/>
  <c r="R100" i="83"/>
  <c r="Q100" i="83"/>
  <c r="P100" i="83"/>
  <c r="O100" i="83"/>
  <c r="N100" i="83"/>
  <c r="M100" i="83"/>
  <c r="L100" i="83"/>
  <c r="K100" i="83"/>
  <c r="J100" i="83"/>
  <c r="I100" i="83"/>
  <c r="H100" i="83"/>
  <c r="G100" i="83"/>
  <c r="F100" i="83"/>
  <c r="E100" i="83"/>
  <c r="D100" i="83"/>
  <c r="C100" i="83"/>
  <c r="B100" i="83"/>
  <c r="AI99" i="83"/>
  <c r="AH99" i="83"/>
  <c r="AF99" i="83"/>
  <c r="AE99" i="83"/>
  <c r="AD99" i="83"/>
  <c r="AC99" i="83"/>
  <c r="AB99" i="83"/>
  <c r="AA99" i="83"/>
  <c r="Z99" i="83"/>
  <c r="Y99" i="83"/>
  <c r="X99" i="83"/>
  <c r="W99" i="83"/>
  <c r="V99" i="83"/>
  <c r="U99" i="83"/>
  <c r="T99" i="83"/>
  <c r="S99" i="83"/>
  <c r="R99" i="83"/>
  <c r="Q99" i="83"/>
  <c r="P99" i="83"/>
  <c r="O99" i="83"/>
  <c r="N99" i="83"/>
  <c r="M99" i="83"/>
  <c r="L99" i="83"/>
  <c r="K99" i="83"/>
  <c r="J99" i="83"/>
  <c r="I99" i="83"/>
  <c r="H99" i="83"/>
  <c r="G99" i="83"/>
  <c r="F99" i="83"/>
  <c r="E99" i="83"/>
  <c r="D99" i="83"/>
  <c r="C99" i="83"/>
  <c r="B99" i="83"/>
  <c r="AI98" i="83"/>
  <c r="AH98" i="83"/>
  <c r="AI97" i="83"/>
  <c r="AH97" i="83"/>
  <c r="AI96" i="83"/>
  <c r="AH96" i="83"/>
  <c r="AI95" i="83"/>
  <c r="AH95" i="83"/>
  <c r="AI94" i="83"/>
  <c r="AH94" i="83"/>
  <c r="AI93" i="83"/>
  <c r="AH93" i="83"/>
  <c r="AI92" i="83"/>
  <c r="AH92" i="83"/>
  <c r="AF92" i="83"/>
  <c r="AE92" i="83"/>
  <c r="AD92" i="83"/>
  <c r="AC92" i="83"/>
  <c r="AB92" i="83"/>
  <c r="AA92" i="83"/>
  <c r="Z92" i="83"/>
  <c r="Y92" i="83"/>
  <c r="X92" i="83"/>
  <c r="W92" i="83"/>
  <c r="V92" i="83"/>
  <c r="U92" i="83"/>
  <c r="T92" i="83"/>
  <c r="S92" i="83"/>
  <c r="R92" i="83"/>
  <c r="Q92" i="83"/>
  <c r="P92" i="83"/>
  <c r="O92" i="83"/>
  <c r="N92" i="83"/>
  <c r="M92" i="83"/>
  <c r="L92" i="83"/>
  <c r="K92" i="83"/>
  <c r="J92" i="83"/>
  <c r="I92" i="83"/>
  <c r="H92" i="83"/>
  <c r="G92" i="83"/>
  <c r="F92" i="83"/>
  <c r="E92" i="83"/>
  <c r="D92" i="83"/>
  <c r="C92" i="83"/>
  <c r="B92" i="83"/>
  <c r="AI91" i="83"/>
  <c r="AH91" i="83"/>
  <c r="AG91" i="83"/>
  <c r="AF91" i="83"/>
  <c r="AE91" i="83"/>
  <c r="AD91" i="83"/>
  <c r="AC91" i="83"/>
  <c r="AB91" i="83"/>
  <c r="AA91" i="83"/>
  <c r="Z91" i="83"/>
  <c r="Y91" i="83"/>
  <c r="X91" i="83"/>
  <c r="W91" i="83"/>
  <c r="V91" i="83"/>
  <c r="U91" i="83"/>
  <c r="T91" i="83"/>
  <c r="S91" i="83"/>
  <c r="R91" i="83"/>
  <c r="Q91" i="83"/>
  <c r="P91" i="83"/>
  <c r="O91" i="83"/>
  <c r="N91" i="83"/>
  <c r="M91" i="83"/>
  <c r="L91" i="83"/>
  <c r="K91" i="83"/>
  <c r="J91" i="83"/>
  <c r="I91" i="83"/>
  <c r="H91" i="83"/>
  <c r="G91" i="83"/>
  <c r="F91" i="83"/>
  <c r="E91" i="83"/>
  <c r="D91" i="83"/>
  <c r="C91" i="83"/>
  <c r="B91" i="83"/>
  <c r="AI90" i="83"/>
  <c r="AH90" i="83"/>
  <c r="AI89" i="83"/>
  <c r="AH89" i="83"/>
  <c r="AG89" i="83"/>
  <c r="AF89" i="83"/>
  <c r="AE89" i="83"/>
  <c r="AD89" i="83"/>
  <c r="AC89" i="83"/>
  <c r="AB89" i="83"/>
  <c r="AA89" i="83"/>
  <c r="Z89" i="83"/>
  <c r="Y89" i="83"/>
  <c r="X89" i="83"/>
  <c r="W89" i="83"/>
  <c r="V89" i="83"/>
  <c r="U89" i="83"/>
  <c r="T89" i="83"/>
  <c r="S89" i="83"/>
  <c r="R89" i="83"/>
  <c r="Q89" i="83"/>
  <c r="P89" i="83"/>
  <c r="O89" i="83"/>
  <c r="N89" i="83"/>
  <c r="M89" i="83"/>
  <c r="L89" i="83"/>
  <c r="K89" i="83"/>
  <c r="J89" i="83"/>
  <c r="I89" i="83"/>
  <c r="H89" i="83"/>
  <c r="G89" i="83"/>
  <c r="F89" i="83"/>
  <c r="E89" i="83"/>
  <c r="D89" i="83"/>
  <c r="C89" i="83"/>
  <c r="B89" i="83"/>
  <c r="AI88" i="83"/>
  <c r="AH88" i="83"/>
  <c r="AG88" i="83"/>
  <c r="AI87" i="83"/>
  <c r="AH87" i="83"/>
  <c r="AI86" i="83"/>
  <c r="AH86" i="83"/>
  <c r="AI85" i="83"/>
  <c r="AH85" i="83"/>
  <c r="AI84" i="83"/>
  <c r="AH84" i="83"/>
  <c r="AG84" i="83"/>
  <c r="AF84" i="83"/>
  <c r="AE84" i="83"/>
  <c r="AD84" i="83"/>
  <c r="AC84" i="83"/>
  <c r="AB84" i="83"/>
  <c r="AA84" i="83"/>
  <c r="Z84" i="83"/>
  <c r="Y84" i="83"/>
  <c r="X84" i="83"/>
  <c r="W84" i="83"/>
  <c r="V84" i="83"/>
  <c r="U84" i="83"/>
  <c r="T84" i="83"/>
  <c r="S84" i="83"/>
  <c r="R84" i="83"/>
  <c r="Q84" i="83"/>
  <c r="P84" i="83"/>
  <c r="O84" i="83"/>
  <c r="N84" i="83"/>
  <c r="M84" i="83"/>
  <c r="L84" i="83"/>
  <c r="K84" i="83"/>
  <c r="J84" i="83"/>
  <c r="I84" i="83"/>
  <c r="H84" i="83"/>
  <c r="G84" i="83"/>
  <c r="F84" i="83"/>
  <c r="E84" i="83"/>
  <c r="D84" i="83"/>
  <c r="C84" i="83"/>
  <c r="B84" i="83"/>
  <c r="AI83" i="83"/>
  <c r="AH83" i="83"/>
  <c r="AI82" i="83"/>
  <c r="AH82" i="83"/>
  <c r="AI81" i="83"/>
  <c r="AH81" i="83"/>
  <c r="AI80" i="83"/>
  <c r="AH80" i="83"/>
  <c r="AI79" i="83"/>
  <c r="AH79" i="83"/>
  <c r="AI78" i="83"/>
  <c r="AH78" i="83"/>
  <c r="AI77" i="83"/>
  <c r="AH77" i="83"/>
  <c r="AI76" i="83"/>
  <c r="AH76" i="83"/>
  <c r="AI75" i="83"/>
  <c r="AH75" i="83"/>
  <c r="AI74" i="83"/>
  <c r="AH74" i="83"/>
  <c r="AI73" i="83"/>
  <c r="AH73" i="83"/>
  <c r="AI72" i="83"/>
  <c r="AH72" i="83"/>
  <c r="AG72" i="83"/>
  <c r="AF72" i="83"/>
  <c r="AE72" i="83"/>
  <c r="AD72" i="83"/>
  <c r="AC72" i="83"/>
  <c r="AB72" i="83"/>
  <c r="AA72" i="83"/>
  <c r="Z72" i="83"/>
  <c r="Y72" i="83"/>
  <c r="X72" i="83"/>
  <c r="W72" i="83"/>
  <c r="V72" i="83"/>
  <c r="U72" i="83"/>
  <c r="T72" i="83"/>
  <c r="S72" i="83"/>
  <c r="R72" i="83"/>
  <c r="Q72" i="83"/>
  <c r="P72" i="83"/>
  <c r="O72" i="83"/>
  <c r="N72" i="83"/>
  <c r="M72" i="83"/>
  <c r="L72" i="83"/>
  <c r="B72" i="83"/>
  <c r="AI71" i="83"/>
  <c r="AH71" i="83"/>
  <c r="AI70" i="83"/>
  <c r="AH70" i="83"/>
  <c r="AI69" i="83"/>
  <c r="AH69" i="83"/>
  <c r="AI68" i="83"/>
  <c r="AH68" i="83"/>
  <c r="AG68" i="83"/>
  <c r="AF68" i="83"/>
  <c r="AE68" i="83"/>
  <c r="AD68" i="83"/>
  <c r="AC68" i="83"/>
  <c r="AB68" i="83"/>
  <c r="AA68" i="83"/>
  <c r="Z68" i="83"/>
  <c r="Y68" i="83"/>
  <c r="X68" i="83"/>
  <c r="W68" i="83"/>
  <c r="V68" i="83"/>
  <c r="U68" i="83"/>
  <c r="T68" i="83"/>
  <c r="S68" i="83"/>
  <c r="R68" i="83"/>
  <c r="Q68" i="83"/>
  <c r="P68" i="83"/>
  <c r="O68" i="83"/>
  <c r="N68" i="83"/>
  <c r="M68" i="83"/>
  <c r="L68" i="83"/>
  <c r="K68" i="83"/>
  <c r="J68" i="83"/>
  <c r="I68" i="83"/>
  <c r="H68" i="83"/>
  <c r="G68" i="83"/>
  <c r="F68" i="83"/>
  <c r="E68" i="83"/>
  <c r="D68" i="83"/>
  <c r="C68" i="83"/>
  <c r="B68" i="83"/>
  <c r="AI67" i="83"/>
  <c r="AH67" i="83"/>
  <c r="AG67" i="83"/>
  <c r="AI66" i="83"/>
  <c r="AH66" i="83"/>
  <c r="AI65" i="83"/>
  <c r="AH65" i="83"/>
  <c r="AI64" i="83"/>
  <c r="AH64" i="83"/>
  <c r="AI63" i="83"/>
  <c r="AH63" i="83"/>
  <c r="AI62" i="83"/>
  <c r="AH62" i="83"/>
  <c r="AI61" i="83"/>
  <c r="AH61" i="83"/>
  <c r="AI60" i="83"/>
  <c r="AH60" i="83"/>
  <c r="AI59" i="83"/>
  <c r="AH59" i="83"/>
  <c r="AI58" i="83"/>
  <c r="AH58" i="83"/>
  <c r="AI57" i="83"/>
  <c r="AH57" i="83"/>
  <c r="AI56" i="83"/>
  <c r="AH56" i="83"/>
  <c r="AI55" i="83"/>
  <c r="AH55" i="83"/>
  <c r="AI54" i="83"/>
  <c r="AH54" i="83"/>
  <c r="AG54" i="83"/>
  <c r="AF54" i="83"/>
  <c r="AE54" i="83"/>
  <c r="AD54" i="83"/>
  <c r="AC54" i="83"/>
  <c r="AB54" i="83"/>
  <c r="AA54" i="83"/>
  <c r="Z54" i="83"/>
  <c r="Y54" i="83"/>
  <c r="X54" i="83"/>
  <c r="W54" i="83"/>
  <c r="V54" i="83"/>
  <c r="U54" i="83"/>
  <c r="T54" i="83"/>
  <c r="S54" i="83"/>
  <c r="R54" i="83"/>
  <c r="Q54" i="83"/>
  <c r="P54" i="83"/>
  <c r="O54" i="83"/>
  <c r="N54" i="83"/>
  <c r="M54" i="83"/>
  <c r="L54" i="83"/>
  <c r="K54" i="83"/>
  <c r="J54" i="83"/>
  <c r="I54" i="83"/>
  <c r="H54" i="83"/>
  <c r="G54" i="83"/>
  <c r="F54" i="83"/>
  <c r="E54" i="83"/>
  <c r="D54" i="83"/>
  <c r="C54" i="83"/>
  <c r="B54" i="83"/>
  <c r="AI53" i="83"/>
  <c r="AH53" i="83"/>
  <c r="AI52" i="83"/>
  <c r="AH52" i="83"/>
  <c r="AI51" i="83"/>
  <c r="AH51" i="83"/>
  <c r="AI50" i="83"/>
  <c r="AH50" i="83"/>
  <c r="AG50" i="83"/>
  <c r="AF50" i="83"/>
  <c r="AE50" i="83"/>
  <c r="AD50" i="83"/>
  <c r="AC50" i="83"/>
  <c r="AB50" i="83"/>
  <c r="AA50" i="83"/>
  <c r="Z50" i="83"/>
  <c r="Y50" i="83"/>
  <c r="X50" i="83"/>
  <c r="W50" i="83"/>
  <c r="V50" i="83"/>
  <c r="U50" i="83"/>
  <c r="T50" i="83"/>
  <c r="S50" i="83"/>
  <c r="R50" i="83"/>
  <c r="Q50" i="83"/>
  <c r="P50" i="83"/>
  <c r="O50" i="83"/>
  <c r="N50" i="83"/>
  <c r="M50" i="83"/>
  <c r="L50" i="83"/>
  <c r="K50" i="83"/>
  <c r="J50" i="83"/>
  <c r="I50" i="83"/>
  <c r="H50" i="83"/>
  <c r="G50" i="83"/>
  <c r="F50" i="83"/>
  <c r="E50" i="83"/>
  <c r="D50" i="83"/>
  <c r="C50" i="83"/>
  <c r="B50" i="83"/>
  <c r="AI49" i="83"/>
  <c r="AH49" i="83"/>
  <c r="R49" i="83"/>
  <c r="Q49" i="83"/>
  <c r="P49" i="83"/>
  <c r="O49" i="83"/>
  <c r="N49" i="83"/>
  <c r="M49" i="83"/>
  <c r="L49" i="83"/>
  <c r="K49" i="83"/>
  <c r="E49" i="83"/>
  <c r="AI48" i="83"/>
  <c r="AH48" i="83"/>
  <c r="AI47" i="83"/>
  <c r="AH47" i="83"/>
  <c r="AI46" i="83"/>
  <c r="AH46" i="83"/>
  <c r="AI45" i="83"/>
  <c r="AH45" i="83"/>
  <c r="AI44" i="83"/>
  <c r="AH44" i="83"/>
  <c r="AI43" i="83"/>
  <c r="AH43" i="83"/>
  <c r="AI42" i="83"/>
  <c r="AH42" i="83"/>
  <c r="AI41" i="83"/>
  <c r="AH41" i="83"/>
  <c r="AI40" i="83"/>
  <c r="AH40" i="83"/>
  <c r="AI39" i="83"/>
  <c r="AH39" i="83"/>
  <c r="AI38" i="83"/>
  <c r="AH38" i="83"/>
  <c r="AI37" i="83"/>
  <c r="AH37" i="83"/>
  <c r="AI36" i="83"/>
  <c r="AH36" i="83"/>
  <c r="AI35" i="83"/>
  <c r="AH35" i="83"/>
  <c r="AI34" i="83"/>
  <c r="AH34" i="83"/>
  <c r="AI33" i="83"/>
  <c r="AH33" i="83"/>
  <c r="AI32" i="83"/>
  <c r="AH32" i="83"/>
  <c r="AI31" i="83"/>
  <c r="AH31" i="83"/>
  <c r="AI30" i="83"/>
  <c r="AH30" i="83"/>
  <c r="AI29" i="83"/>
  <c r="AH29" i="83"/>
  <c r="AI28" i="83"/>
  <c r="AH28" i="83"/>
  <c r="AI27" i="83"/>
  <c r="AH27" i="83"/>
  <c r="P27" i="83"/>
  <c r="O27" i="83"/>
  <c r="N27" i="83"/>
  <c r="M27" i="83"/>
  <c r="L27" i="83"/>
  <c r="K27" i="83"/>
  <c r="AI26" i="83"/>
  <c r="AH26" i="83"/>
  <c r="AI25" i="83"/>
  <c r="AH25" i="83"/>
  <c r="AI24" i="83"/>
  <c r="AH24" i="83"/>
  <c r="AI23" i="83"/>
  <c r="AH23" i="83"/>
  <c r="AI22" i="83"/>
  <c r="AH22" i="83"/>
  <c r="AI21" i="83"/>
  <c r="AH21" i="83"/>
  <c r="AI20" i="83"/>
  <c r="AH20" i="83"/>
  <c r="AI19" i="83"/>
  <c r="AH19" i="83"/>
  <c r="AI18" i="83"/>
  <c r="AH18" i="83"/>
  <c r="AI17" i="83"/>
  <c r="AH17" i="83"/>
  <c r="AI16" i="83"/>
  <c r="AH16" i="83"/>
  <c r="AI15" i="83"/>
  <c r="AH15" i="83"/>
  <c r="AI14" i="83"/>
  <c r="AH14" i="83"/>
  <c r="AI13" i="83"/>
  <c r="AH13" i="83"/>
  <c r="AI12" i="83"/>
  <c r="AH12" i="83"/>
  <c r="AI11" i="83"/>
  <c r="AH11" i="83"/>
  <c r="AF7" i="83"/>
  <c r="AE7" i="83"/>
  <c r="AD7" i="83"/>
  <c r="AC7" i="83"/>
  <c r="AB7" i="83"/>
  <c r="AA7" i="83"/>
  <c r="Z7" i="83"/>
  <c r="Y7" i="83"/>
  <c r="X7" i="83"/>
  <c r="W7" i="83"/>
  <c r="V7" i="83"/>
  <c r="U7" i="83"/>
  <c r="T7" i="83"/>
  <c r="S7" i="83"/>
  <c r="R7" i="83"/>
  <c r="Q7" i="83"/>
  <c r="P7" i="83"/>
  <c r="O7" i="83"/>
  <c r="N7" i="83"/>
  <c r="M7" i="83"/>
  <c r="L7" i="83"/>
  <c r="K7" i="83"/>
  <c r="J7" i="83"/>
  <c r="I7" i="83"/>
  <c r="H7" i="83"/>
  <c r="G7" i="83"/>
  <c r="F7" i="83"/>
  <c r="E7" i="83"/>
  <c r="D7" i="83"/>
  <c r="C7" i="83"/>
  <c r="B7" i="83"/>
  <c r="A7" i="83"/>
  <c r="AG6" i="83"/>
  <c r="K6" i="83"/>
  <c r="AF5" i="83"/>
  <c r="AE5" i="83"/>
  <c r="AD5" i="83"/>
  <c r="AC5" i="83"/>
  <c r="AB5" i="83"/>
  <c r="AA5" i="83"/>
  <c r="Z5" i="83"/>
  <c r="Y5" i="83"/>
  <c r="X5" i="83"/>
  <c r="W5" i="83"/>
  <c r="V5" i="83"/>
  <c r="U5" i="83"/>
  <c r="T5" i="83"/>
  <c r="S5" i="83"/>
  <c r="R5" i="83"/>
  <c r="Q5" i="83"/>
  <c r="P5" i="83"/>
  <c r="O5" i="83"/>
  <c r="N5" i="83"/>
  <c r="M5" i="83"/>
  <c r="L5" i="83"/>
  <c r="K5" i="83"/>
  <c r="J5" i="83"/>
  <c r="I5" i="83"/>
  <c r="H5" i="83"/>
  <c r="G5" i="83"/>
  <c r="F5" i="83"/>
  <c r="E5" i="83"/>
  <c r="D5" i="83"/>
  <c r="C5" i="83"/>
  <c r="B5" i="83"/>
  <c r="AG4" i="83"/>
  <c r="K4" i="83"/>
  <c r="E4" i="83"/>
  <c r="B4" i="83"/>
  <c r="D246" i="83" s="1"/>
  <c r="AG3" i="83"/>
  <c r="AG2" i="83"/>
  <c r="AF274" i="82"/>
  <c r="AE274" i="82"/>
  <c r="AD274" i="82"/>
  <c r="AC274" i="82"/>
  <c r="AB274" i="82"/>
  <c r="AA274" i="82"/>
  <c r="Z274" i="82"/>
  <c r="Y274" i="82"/>
  <c r="X274" i="82"/>
  <c r="W274" i="82"/>
  <c r="V274" i="82"/>
  <c r="U274" i="82"/>
  <c r="T274" i="82"/>
  <c r="S274" i="82"/>
  <c r="R274" i="82"/>
  <c r="Q274" i="82"/>
  <c r="P274" i="82"/>
  <c r="O274" i="82"/>
  <c r="N274" i="82"/>
  <c r="M274" i="82"/>
  <c r="L274" i="82"/>
  <c r="K274" i="82"/>
  <c r="J274" i="82"/>
  <c r="I274" i="82"/>
  <c r="H274" i="82"/>
  <c r="G274" i="82"/>
  <c r="F274" i="82"/>
  <c r="E274" i="82"/>
  <c r="D274" i="82"/>
  <c r="C274" i="82"/>
  <c r="B274" i="82"/>
  <c r="A274" i="82"/>
  <c r="AF273" i="82"/>
  <c r="AE273" i="82"/>
  <c r="AD273" i="82"/>
  <c r="AC273" i="82"/>
  <c r="AB273" i="82"/>
  <c r="AA273" i="82"/>
  <c r="Z273" i="82"/>
  <c r="Y273" i="82"/>
  <c r="X273" i="82"/>
  <c r="W273" i="82"/>
  <c r="V273" i="82"/>
  <c r="U273" i="82"/>
  <c r="T273" i="82"/>
  <c r="S273" i="82"/>
  <c r="R273" i="82"/>
  <c r="Q273" i="82"/>
  <c r="P273" i="82"/>
  <c r="O273" i="82"/>
  <c r="N273" i="82"/>
  <c r="M273" i="82"/>
  <c r="L273" i="82"/>
  <c r="K273" i="82"/>
  <c r="J273" i="82"/>
  <c r="I273" i="82"/>
  <c r="H273" i="82"/>
  <c r="G273" i="82"/>
  <c r="F273" i="82"/>
  <c r="E273" i="82"/>
  <c r="D273" i="82"/>
  <c r="C273" i="82"/>
  <c r="B273" i="82"/>
  <c r="A273" i="82"/>
  <c r="AF272" i="82"/>
  <c r="AE272" i="82"/>
  <c r="AD272" i="82"/>
  <c r="AC272" i="82"/>
  <c r="AB272" i="82"/>
  <c r="AA272" i="82"/>
  <c r="Z272" i="82"/>
  <c r="Y272" i="82"/>
  <c r="X272" i="82"/>
  <c r="W272" i="82"/>
  <c r="V272" i="82"/>
  <c r="U272" i="82"/>
  <c r="T272" i="82"/>
  <c r="S272" i="82"/>
  <c r="R272" i="82"/>
  <c r="Q272" i="82"/>
  <c r="P272" i="82"/>
  <c r="O272" i="82"/>
  <c r="N272" i="82"/>
  <c r="M272" i="82"/>
  <c r="L272" i="82"/>
  <c r="K272" i="82"/>
  <c r="J272" i="82"/>
  <c r="I272" i="82"/>
  <c r="H272" i="82"/>
  <c r="G272" i="82"/>
  <c r="F272" i="82"/>
  <c r="E272" i="82"/>
  <c r="D272" i="82"/>
  <c r="C272" i="82"/>
  <c r="B272" i="82"/>
  <c r="A272" i="82"/>
  <c r="AF271" i="82"/>
  <c r="AE271" i="82"/>
  <c r="AD271" i="82"/>
  <c r="AC271" i="82"/>
  <c r="AB271" i="82"/>
  <c r="AA271" i="82"/>
  <c r="Z271" i="82"/>
  <c r="Y271" i="82"/>
  <c r="X271" i="82"/>
  <c r="W271" i="82"/>
  <c r="V271" i="82"/>
  <c r="U271" i="82"/>
  <c r="T271" i="82"/>
  <c r="S271" i="82"/>
  <c r="R271" i="82"/>
  <c r="Q271" i="82"/>
  <c r="P271" i="82"/>
  <c r="O271" i="82"/>
  <c r="N271" i="82"/>
  <c r="M271" i="82"/>
  <c r="L271" i="82"/>
  <c r="K271" i="82"/>
  <c r="J271" i="82"/>
  <c r="I271" i="82"/>
  <c r="H271" i="82"/>
  <c r="G271" i="82"/>
  <c r="F271" i="82"/>
  <c r="E271" i="82"/>
  <c r="D271" i="82"/>
  <c r="C271" i="82"/>
  <c r="B271" i="82"/>
  <c r="A271" i="82"/>
  <c r="AF270" i="82"/>
  <c r="AE270" i="82"/>
  <c r="AD270" i="82"/>
  <c r="AC270" i="82"/>
  <c r="AB270" i="82"/>
  <c r="AA270" i="82"/>
  <c r="Z270" i="82"/>
  <c r="Y270" i="82"/>
  <c r="X270" i="82"/>
  <c r="W270" i="82"/>
  <c r="V270" i="82"/>
  <c r="U270" i="82"/>
  <c r="T270" i="82"/>
  <c r="S270" i="82"/>
  <c r="R270" i="82"/>
  <c r="Q270" i="82"/>
  <c r="P270" i="82"/>
  <c r="O270" i="82"/>
  <c r="N270" i="82"/>
  <c r="M270" i="82"/>
  <c r="L270" i="82"/>
  <c r="K270" i="82"/>
  <c r="J270" i="82"/>
  <c r="I270" i="82"/>
  <c r="H270" i="82"/>
  <c r="G270" i="82"/>
  <c r="F270" i="82"/>
  <c r="E270" i="82"/>
  <c r="D270" i="82"/>
  <c r="C270" i="82"/>
  <c r="B270" i="82"/>
  <c r="AX249" i="82"/>
  <c r="AW249" i="82"/>
  <c r="AV249" i="82"/>
  <c r="AU249" i="82"/>
  <c r="AT249" i="82"/>
  <c r="AS249" i="82"/>
  <c r="AR249" i="82"/>
  <c r="AQ249" i="82"/>
  <c r="AP249" i="82"/>
  <c r="AO249" i="82"/>
  <c r="AN249" i="82"/>
  <c r="AM249" i="82"/>
  <c r="AL249" i="82"/>
  <c r="AK249" i="82"/>
  <c r="AJ249" i="82"/>
  <c r="AI249" i="82"/>
  <c r="AH249" i="82"/>
  <c r="AG249" i="82"/>
  <c r="AF249" i="82"/>
  <c r="AE249" i="82"/>
  <c r="AD249" i="82"/>
  <c r="AC249" i="82"/>
  <c r="AB249" i="82"/>
  <c r="AA249" i="82"/>
  <c r="Z249" i="82"/>
  <c r="Y249" i="82"/>
  <c r="X249" i="82"/>
  <c r="W249" i="82"/>
  <c r="V249" i="82"/>
  <c r="U249" i="82"/>
  <c r="T249" i="82"/>
  <c r="S245" i="82"/>
  <c r="C244" i="82"/>
  <c r="B244" i="82"/>
  <c r="AG235" i="82"/>
  <c r="AF235" i="82"/>
  <c r="AE235" i="82"/>
  <c r="AD235" i="82"/>
  <c r="AC235" i="82"/>
  <c r="AB235" i="82"/>
  <c r="AA235" i="82"/>
  <c r="Z235" i="82"/>
  <c r="Y235" i="82"/>
  <c r="X235" i="82"/>
  <c r="W235" i="82"/>
  <c r="V235" i="82"/>
  <c r="U235" i="82"/>
  <c r="T235" i="82"/>
  <c r="S235" i="82"/>
  <c r="R235" i="82"/>
  <c r="Q235" i="82"/>
  <c r="H235" i="82"/>
  <c r="G235" i="82"/>
  <c r="F235" i="82"/>
  <c r="E235" i="82"/>
  <c r="D235" i="82"/>
  <c r="C235" i="82"/>
  <c r="B235" i="82"/>
  <c r="P234" i="82"/>
  <c r="O234" i="82"/>
  <c r="N234" i="82"/>
  <c r="M234" i="82"/>
  <c r="L234" i="82"/>
  <c r="K234" i="82"/>
  <c r="J234" i="82"/>
  <c r="I234" i="82"/>
  <c r="H234" i="82"/>
  <c r="G234" i="82"/>
  <c r="F234" i="82"/>
  <c r="E234" i="82"/>
  <c r="D234" i="82"/>
  <c r="B234" i="82"/>
  <c r="P233" i="82"/>
  <c r="O233" i="82"/>
  <c r="N233" i="82"/>
  <c r="M233" i="82"/>
  <c r="L233" i="82"/>
  <c r="K233" i="82"/>
  <c r="J233" i="82"/>
  <c r="I233" i="82"/>
  <c r="H233" i="82"/>
  <c r="G233" i="82"/>
  <c r="F233" i="82"/>
  <c r="E233" i="82"/>
  <c r="D233" i="82"/>
  <c r="B233" i="82"/>
  <c r="P232" i="82"/>
  <c r="O232" i="82"/>
  <c r="N232" i="82"/>
  <c r="M232" i="82"/>
  <c r="L232" i="82"/>
  <c r="K232" i="82"/>
  <c r="J232" i="82"/>
  <c r="I232" i="82"/>
  <c r="H232" i="82"/>
  <c r="G232" i="82"/>
  <c r="F232" i="82"/>
  <c r="E232" i="82"/>
  <c r="D232" i="82"/>
  <c r="B232" i="82"/>
  <c r="H231" i="82"/>
  <c r="G231" i="82"/>
  <c r="F231" i="82"/>
  <c r="E231" i="82"/>
  <c r="D231" i="82"/>
  <c r="B231" i="82"/>
  <c r="P230" i="82"/>
  <c r="O230" i="82"/>
  <c r="N230" i="82"/>
  <c r="M230" i="82"/>
  <c r="L230" i="82"/>
  <c r="K230" i="82"/>
  <c r="J230" i="82"/>
  <c r="I230" i="82"/>
  <c r="H230" i="82"/>
  <c r="G230" i="82"/>
  <c r="F230" i="82"/>
  <c r="E230" i="82"/>
  <c r="D230" i="82"/>
  <c r="B230" i="82"/>
  <c r="P229" i="82"/>
  <c r="O229" i="82"/>
  <c r="N229" i="82"/>
  <c r="M229" i="82"/>
  <c r="L229" i="82"/>
  <c r="K229" i="82"/>
  <c r="J229" i="82"/>
  <c r="I229" i="82"/>
  <c r="H229" i="82"/>
  <c r="G229" i="82"/>
  <c r="F229" i="82"/>
  <c r="E229" i="82"/>
  <c r="D229" i="82"/>
  <c r="B229" i="82"/>
  <c r="AG227" i="82"/>
  <c r="AF227" i="82"/>
  <c r="AE227" i="82"/>
  <c r="AD227" i="82"/>
  <c r="AC227" i="82"/>
  <c r="AB227" i="82"/>
  <c r="AA227" i="82"/>
  <c r="Z227" i="82"/>
  <c r="Y227" i="82"/>
  <c r="X227" i="82"/>
  <c r="W227" i="82"/>
  <c r="V227" i="82"/>
  <c r="U227" i="82"/>
  <c r="T227" i="82"/>
  <c r="S227" i="82"/>
  <c r="R227" i="82"/>
  <c r="Q227" i="82"/>
  <c r="P227" i="82"/>
  <c r="O227" i="82"/>
  <c r="N227" i="82"/>
  <c r="M227" i="82"/>
  <c r="L227" i="82"/>
  <c r="K227" i="82"/>
  <c r="J227" i="82"/>
  <c r="I227" i="82"/>
  <c r="H227" i="82"/>
  <c r="G227" i="82"/>
  <c r="F227" i="82"/>
  <c r="E227" i="82"/>
  <c r="D227" i="82"/>
  <c r="C227" i="82"/>
  <c r="B227" i="82"/>
  <c r="AI120" i="82"/>
  <c r="AH120" i="82"/>
  <c r="AI119" i="82"/>
  <c r="AH119" i="82"/>
  <c r="AI118" i="82"/>
  <c r="AH118" i="82"/>
  <c r="AI117" i="82"/>
  <c r="AH117" i="82"/>
  <c r="AI116" i="82"/>
  <c r="AH116" i="82"/>
  <c r="AI115" i="82"/>
  <c r="AH115" i="82"/>
  <c r="AI114" i="82"/>
  <c r="AH114" i="82"/>
  <c r="AI113" i="82"/>
  <c r="AH113" i="82"/>
  <c r="AC113" i="82"/>
  <c r="AB113" i="82"/>
  <c r="S113" i="82"/>
  <c r="AI112" i="82"/>
  <c r="AH112" i="82"/>
  <c r="AI111" i="82"/>
  <c r="AH111" i="82"/>
  <c r="AI110" i="82"/>
  <c r="AH110" i="82"/>
  <c r="AF110" i="82"/>
  <c r="AE110" i="82"/>
  <c r="AC110" i="82"/>
  <c r="AB110" i="82"/>
  <c r="AA110" i="82"/>
  <c r="Z110" i="82"/>
  <c r="Y110" i="82"/>
  <c r="X110" i="82"/>
  <c r="W110" i="82"/>
  <c r="V110" i="82"/>
  <c r="U110" i="82"/>
  <c r="T110" i="82"/>
  <c r="S110" i="82"/>
  <c r="R110" i="82"/>
  <c r="Q110" i="82"/>
  <c r="O110" i="82"/>
  <c r="N110" i="82"/>
  <c r="M110" i="82"/>
  <c r="L110" i="82"/>
  <c r="K110" i="82"/>
  <c r="J110" i="82"/>
  <c r="I110" i="82"/>
  <c r="H110" i="82"/>
  <c r="G110" i="82"/>
  <c r="F110" i="82"/>
  <c r="E110" i="82"/>
  <c r="D110" i="82"/>
  <c r="C110" i="82"/>
  <c r="B110" i="82"/>
  <c r="AI109" i="82"/>
  <c r="AH109" i="82"/>
  <c r="AI108" i="82"/>
  <c r="AH108" i="82"/>
  <c r="AI107" i="82"/>
  <c r="AH107" i="82"/>
  <c r="AI106" i="82"/>
  <c r="AH106" i="82"/>
  <c r="AI105" i="82"/>
  <c r="AH105" i="82"/>
  <c r="AI104" i="82"/>
  <c r="AH104" i="82"/>
  <c r="AI103" i="82"/>
  <c r="AH103" i="82"/>
  <c r="AI102" i="82"/>
  <c r="AH102" i="82"/>
  <c r="AI101" i="82"/>
  <c r="AH101" i="82"/>
  <c r="AI100" i="82"/>
  <c r="AH100" i="82"/>
  <c r="AF100" i="82"/>
  <c r="AE100" i="82"/>
  <c r="AD100" i="82"/>
  <c r="AC100" i="82"/>
  <c r="AB100" i="82"/>
  <c r="AA100" i="82"/>
  <c r="Z100" i="82"/>
  <c r="Y100" i="82"/>
  <c r="X100" i="82"/>
  <c r="W100" i="82"/>
  <c r="V100" i="82"/>
  <c r="U100" i="82"/>
  <c r="T100" i="82"/>
  <c r="S100" i="82"/>
  <c r="R100" i="82"/>
  <c r="Q100" i="82"/>
  <c r="P100" i="82"/>
  <c r="O100" i="82"/>
  <c r="N100" i="82"/>
  <c r="M100" i="82"/>
  <c r="L100" i="82"/>
  <c r="K100" i="82"/>
  <c r="J100" i="82"/>
  <c r="I100" i="82"/>
  <c r="H100" i="82"/>
  <c r="G100" i="82"/>
  <c r="F100" i="82"/>
  <c r="E100" i="82"/>
  <c r="D100" i="82"/>
  <c r="C100" i="82"/>
  <c r="B100" i="82"/>
  <c r="AI99" i="82"/>
  <c r="AH99" i="82"/>
  <c r="AF99" i="82"/>
  <c r="AE99" i="82"/>
  <c r="AD99" i="82"/>
  <c r="AC99" i="82"/>
  <c r="AB99" i="82"/>
  <c r="AA99" i="82"/>
  <c r="Z99" i="82"/>
  <c r="Y99" i="82"/>
  <c r="X99" i="82"/>
  <c r="W99" i="82"/>
  <c r="V99" i="82"/>
  <c r="U99" i="82"/>
  <c r="T99" i="82"/>
  <c r="S99" i="82"/>
  <c r="R99" i="82"/>
  <c r="Q99" i="82"/>
  <c r="P99" i="82"/>
  <c r="O99" i="82"/>
  <c r="N99" i="82"/>
  <c r="M99" i="82"/>
  <c r="L99" i="82"/>
  <c r="K99" i="82"/>
  <c r="J99" i="82"/>
  <c r="I99" i="82"/>
  <c r="H99" i="82"/>
  <c r="G99" i="82"/>
  <c r="F99" i="82"/>
  <c r="E99" i="82"/>
  <c r="D99" i="82"/>
  <c r="C99" i="82"/>
  <c r="B99" i="82"/>
  <c r="AI98" i="82"/>
  <c r="AH98" i="82"/>
  <c r="AI97" i="82"/>
  <c r="AH97" i="82"/>
  <c r="AI96" i="82"/>
  <c r="AH96" i="82"/>
  <c r="AI95" i="82"/>
  <c r="AH95" i="82"/>
  <c r="AI94" i="82"/>
  <c r="AH94" i="82"/>
  <c r="AI93" i="82"/>
  <c r="AH93" i="82"/>
  <c r="AI92" i="82"/>
  <c r="AH92" i="82"/>
  <c r="AF92" i="82"/>
  <c r="AE92" i="82"/>
  <c r="AD92" i="82"/>
  <c r="AC92" i="82"/>
  <c r="AB92" i="82"/>
  <c r="AA92" i="82"/>
  <c r="Z92" i="82"/>
  <c r="Y92" i="82"/>
  <c r="X92" i="82"/>
  <c r="W92" i="82"/>
  <c r="V92" i="82"/>
  <c r="U92" i="82"/>
  <c r="T92" i="82"/>
  <c r="S92" i="82"/>
  <c r="R92" i="82"/>
  <c r="Q92" i="82"/>
  <c r="P92" i="82"/>
  <c r="O92" i="82"/>
  <c r="N92" i="82"/>
  <c r="M92" i="82"/>
  <c r="L92" i="82"/>
  <c r="K92" i="82"/>
  <c r="J92" i="82"/>
  <c r="I92" i="82"/>
  <c r="H92" i="82"/>
  <c r="G92" i="82"/>
  <c r="F92" i="82"/>
  <c r="E92" i="82"/>
  <c r="D92" i="82"/>
  <c r="C92" i="82"/>
  <c r="B92" i="82"/>
  <c r="AI91" i="82"/>
  <c r="AH91" i="82"/>
  <c r="AG91" i="82"/>
  <c r="AF91" i="82"/>
  <c r="AE91" i="82"/>
  <c r="AD91" i="82"/>
  <c r="AC91" i="82"/>
  <c r="AB91" i="82"/>
  <c r="AA91" i="82"/>
  <c r="Z91" i="82"/>
  <c r="Y91" i="82"/>
  <c r="X91" i="82"/>
  <c r="W91" i="82"/>
  <c r="V91" i="82"/>
  <c r="U91" i="82"/>
  <c r="T91" i="82"/>
  <c r="S91" i="82"/>
  <c r="R91" i="82"/>
  <c r="Q91" i="82"/>
  <c r="P91" i="82"/>
  <c r="O91" i="82"/>
  <c r="N91" i="82"/>
  <c r="M91" i="82"/>
  <c r="L91" i="82"/>
  <c r="K91" i="82"/>
  <c r="J91" i="82"/>
  <c r="I91" i="82"/>
  <c r="H91" i="82"/>
  <c r="G91" i="82"/>
  <c r="F91" i="82"/>
  <c r="E91" i="82"/>
  <c r="D91" i="82"/>
  <c r="C91" i="82"/>
  <c r="B91" i="82"/>
  <c r="AI90" i="82"/>
  <c r="AH90" i="82"/>
  <c r="AI89" i="82"/>
  <c r="AH89" i="82"/>
  <c r="AG89" i="82"/>
  <c r="AF89" i="82"/>
  <c r="AE89" i="82"/>
  <c r="AD89" i="82"/>
  <c r="AC89" i="82"/>
  <c r="AB89" i="82"/>
  <c r="AA89" i="82"/>
  <c r="Z89" i="82"/>
  <c r="Y89" i="82"/>
  <c r="X89" i="82"/>
  <c r="W89" i="82"/>
  <c r="V89" i="82"/>
  <c r="U89" i="82"/>
  <c r="T89" i="82"/>
  <c r="S89" i="82"/>
  <c r="R89" i="82"/>
  <c r="Q89" i="82"/>
  <c r="P89" i="82"/>
  <c r="O89" i="82"/>
  <c r="N89" i="82"/>
  <c r="M89" i="82"/>
  <c r="L89" i="82"/>
  <c r="K89" i="82"/>
  <c r="J89" i="82"/>
  <c r="I89" i="82"/>
  <c r="H89" i="82"/>
  <c r="G89" i="82"/>
  <c r="F89" i="82"/>
  <c r="E89" i="82"/>
  <c r="D89" i="82"/>
  <c r="C89" i="82"/>
  <c r="B89" i="82"/>
  <c r="AI88" i="82"/>
  <c r="AH88" i="82"/>
  <c r="AG88" i="82"/>
  <c r="AI87" i="82"/>
  <c r="AH87" i="82"/>
  <c r="AI86" i="82"/>
  <c r="AH86" i="82"/>
  <c r="AI85" i="82"/>
  <c r="AH85" i="82"/>
  <c r="AI84" i="82"/>
  <c r="AH84" i="82"/>
  <c r="AG84" i="82"/>
  <c r="AF84" i="82"/>
  <c r="AE84" i="82"/>
  <c r="AD84" i="82"/>
  <c r="AC84" i="82"/>
  <c r="AB84" i="82"/>
  <c r="AA84" i="82"/>
  <c r="Z84" i="82"/>
  <c r="Y84" i="82"/>
  <c r="X84" i="82"/>
  <c r="W84" i="82"/>
  <c r="V84" i="82"/>
  <c r="U84" i="82"/>
  <c r="T84" i="82"/>
  <c r="S84" i="82"/>
  <c r="R84" i="82"/>
  <c r="Q84" i="82"/>
  <c r="P84" i="82"/>
  <c r="O84" i="82"/>
  <c r="N84" i="82"/>
  <c r="M84" i="82"/>
  <c r="L84" i="82"/>
  <c r="K84" i="82"/>
  <c r="J84" i="82"/>
  <c r="I84" i="82"/>
  <c r="H84" i="82"/>
  <c r="G84" i="82"/>
  <c r="F84" i="82"/>
  <c r="E84" i="82"/>
  <c r="D84" i="82"/>
  <c r="C84" i="82"/>
  <c r="B84" i="82"/>
  <c r="AI83" i="82"/>
  <c r="AH83" i="82"/>
  <c r="AI82" i="82"/>
  <c r="AH82" i="82"/>
  <c r="AI81" i="82"/>
  <c r="AH81" i="82"/>
  <c r="AI80" i="82"/>
  <c r="AH80" i="82"/>
  <c r="AI79" i="82"/>
  <c r="AH79" i="82"/>
  <c r="AI78" i="82"/>
  <c r="AH78" i="82"/>
  <c r="AI77" i="82"/>
  <c r="AH77" i="82"/>
  <c r="AI76" i="82"/>
  <c r="AH76" i="82"/>
  <c r="AI75" i="82"/>
  <c r="AH75" i="82"/>
  <c r="AI74" i="82"/>
  <c r="AH74" i="82"/>
  <c r="AI73" i="82"/>
  <c r="AH73" i="82"/>
  <c r="AI72" i="82"/>
  <c r="AH72" i="82"/>
  <c r="AG72" i="82"/>
  <c r="AF72" i="82"/>
  <c r="AE72" i="82"/>
  <c r="AD72" i="82"/>
  <c r="AC72" i="82"/>
  <c r="AB72" i="82"/>
  <c r="AA72" i="82"/>
  <c r="Z72" i="82"/>
  <c r="Y72" i="82"/>
  <c r="X72" i="82"/>
  <c r="W72" i="82"/>
  <c r="V72" i="82"/>
  <c r="U72" i="82"/>
  <c r="T72" i="82"/>
  <c r="S72" i="82"/>
  <c r="R72" i="82"/>
  <c r="Q72" i="82"/>
  <c r="P72" i="82"/>
  <c r="O72" i="82"/>
  <c r="N72" i="82"/>
  <c r="B72" i="82"/>
  <c r="AI71" i="82"/>
  <c r="AH71" i="82"/>
  <c r="AI70" i="82"/>
  <c r="AH70" i="82"/>
  <c r="AI69" i="82"/>
  <c r="AH69" i="82"/>
  <c r="AI68" i="82"/>
  <c r="AH68" i="82"/>
  <c r="AG68" i="82"/>
  <c r="AF68" i="82"/>
  <c r="AE68" i="82"/>
  <c r="AD68" i="82"/>
  <c r="AC68" i="82"/>
  <c r="AB68" i="82"/>
  <c r="AA68" i="82"/>
  <c r="Z68" i="82"/>
  <c r="Y68" i="82"/>
  <c r="X68" i="82"/>
  <c r="W68" i="82"/>
  <c r="V68" i="82"/>
  <c r="U68" i="82"/>
  <c r="T68" i="82"/>
  <c r="S68" i="82"/>
  <c r="R68" i="82"/>
  <c r="Q68" i="82"/>
  <c r="P68" i="82"/>
  <c r="O68" i="82"/>
  <c r="N68" i="82"/>
  <c r="M68" i="82"/>
  <c r="L68" i="82"/>
  <c r="K68" i="82"/>
  <c r="J68" i="82"/>
  <c r="I68" i="82"/>
  <c r="H68" i="82"/>
  <c r="G68" i="82"/>
  <c r="F68" i="82"/>
  <c r="E68" i="82"/>
  <c r="D68" i="82"/>
  <c r="C68" i="82"/>
  <c r="B68" i="82"/>
  <c r="AI67" i="82"/>
  <c r="AH67" i="82"/>
  <c r="AG67" i="82"/>
  <c r="AI66" i="82"/>
  <c r="AH66" i="82"/>
  <c r="AI65" i="82"/>
  <c r="AH65" i="82"/>
  <c r="AI64" i="82"/>
  <c r="AH64" i="82"/>
  <c r="AI63" i="82"/>
  <c r="AH63" i="82"/>
  <c r="AI62" i="82"/>
  <c r="AH62" i="82"/>
  <c r="AI61" i="82"/>
  <c r="AH61" i="82"/>
  <c r="AI60" i="82"/>
  <c r="AH60" i="82"/>
  <c r="AI59" i="82"/>
  <c r="AH59" i="82"/>
  <c r="AI58" i="82"/>
  <c r="AH58" i="82"/>
  <c r="AI57" i="82"/>
  <c r="AH57" i="82"/>
  <c r="AI56" i="82"/>
  <c r="AH56" i="82"/>
  <c r="AI55" i="82"/>
  <c r="AH55" i="82"/>
  <c r="AI54" i="82"/>
  <c r="AH54" i="82"/>
  <c r="AG54" i="82"/>
  <c r="AF54" i="82"/>
  <c r="AE54" i="82"/>
  <c r="AD54" i="82"/>
  <c r="AC54" i="82"/>
  <c r="AB54" i="82"/>
  <c r="AA54" i="82"/>
  <c r="Z54" i="82"/>
  <c r="Y54" i="82"/>
  <c r="X54" i="82"/>
  <c r="W54" i="82"/>
  <c r="V54" i="82"/>
  <c r="U54" i="82"/>
  <c r="T54" i="82"/>
  <c r="S54" i="82"/>
  <c r="R54" i="82"/>
  <c r="Q54" i="82"/>
  <c r="P54" i="82"/>
  <c r="O54" i="82"/>
  <c r="N54" i="82"/>
  <c r="M54" i="82"/>
  <c r="L54" i="82"/>
  <c r="K54" i="82"/>
  <c r="J54" i="82"/>
  <c r="I54" i="82"/>
  <c r="H54" i="82"/>
  <c r="G54" i="82"/>
  <c r="E54" i="82"/>
  <c r="D54" i="82"/>
  <c r="C54" i="82"/>
  <c r="B54" i="82"/>
  <c r="AI53" i="82"/>
  <c r="AH53" i="82"/>
  <c r="AI52" i="82"/>
  <c r="AH52" i="82"/>
  <c r="AI51" i="82"/>
  <c r="AH51" i="82"/>
  <c r="AI50" i="82"/>
  <c r="AH50" i="82"/>
  <c r="AG50" i="82"/>
  <c r="AF50" i="82"/>
  <c r="AE50" i="82"/>
  <c r="AD50" i="82"/>
  <c r="AC50" i="82"/>
  <c r="AB50" i="82"/>
  <c r="AA50" i="82"/>
  <c r="Z50" i="82"/>
  <c r="Y50" i="82"/>
  <c r="X50" i="82"/>
  <c r="W50" i="82"/>
  <c r="V50" i="82"/>
  <c r="U50" i="82"/>
  <c r="T50" i="82"/>
  <c r="S50" i="82"/>
  <c r="R50" i="82"/>
  <c r="Q50" i="82"/>
  <c r="P50" i="82"/>
  <c r="O50" i="82"/>
  <c r="N50" i="82"/>
  <c r="M50" i="82"/>
  <c r="L50" i="82"/>
  <c r="K50" i="82"/>
  <c r="J50" i="82"/>
  <c r="I50" i="82"/>
  <c r="H50" i="82"/>
  <c r="G50" i="82"/>
  <c r="E50" i="82"/>
  <c r="D50" i="82"/>
  <c r="C50" i="82"/>
  <c r="B50" i="82"/>
  <c r="AI49" i="82"/>
  <c r="AH49" i="82"/>
  <c r="AC49" i="82"/>
  <c r="AB49" i="82"/>
  <c r="T49" i="82"/>
  <c r="S49" i="82"/>
  <c r="Q49" i="82"/>
  <c r="P49" i="82"/>
  <c r="O49" i="82"/>
  <c r="N49" i="82"/>
  <c r="AI48" i="82"/>
  <c r="AH48" i="82"/>
  <c r="AI47" i="82"/>
  <c r="AH47" i="82"/>
  <c r="AI46" i="82"/>
  <c r="AH46" i="82"/>
  <c r="AI45" i="82"/>
  <c r="AH45" i="82"/>
  <c r="AI44" i="82"/>
  <c r="AH44" i="82"/>
  <c r="AI43" i="82"/>
  <c r="AH43" i="82"/>
  <c r="AI42" i="82"/>
  <c r="AH42" i="82"/>
  <c r="AI41" i="82"/>
  <c r="AH41" i="82"/>
  <c r="AI40" i="82"/>
  <c r="AH40" i="82"/>
  <c r="AI39" i="82"/>
  <c r="AH39" i="82"/>
  <c r="AI38" i="82"/>
  <c r="AH38" i="82"/>
  <c r="AI37" i="82"/>
  <c r="AH37" i="82"/>
  <c r="AI36" i="82"/>
  <c r="AH36" i="82"/>
  <c r="AI35" i="82"/>
  <c r="AH35" i="82"/>
  <c r="AI34" i="82"/>
  <c r="AH34" i="82"/>
  <c r="AI33" i="82"/>
  <c r="AH33" i="82"/>
  <c r="AI32" i="82"/>
  <c r="AH32" i="82"/>
  <c r="AI31" i="82"/>
  <c r="AH31" i="82"/>
  <c r="AI30" i="82"/>
  <c r="AH30" i="82"/>
  <c r="AI29" i="82"/>
  <c r="AH29" i="82"/>
  <c r="AI28" i="82"/>
  <c r="AH28" i="82"/>
  <c r="AI27" i="82"/>
  <c r="AH27" i="82"/>
  <c r="AI26" i="82"/>
  <c r="AH26" i="82"/>
  <c r="AI25" i="82"/>
  <c r="AH25" i="82"/>
  <c r="AI24" i="82"/>
  <c r="AH24" i="82"/>
  <c r="AI23" i="82"/>
  <c r="AH23" i="82"/>
  <c r="AI22" i="82"/>
  <c r="AH22" i="82"/>
  <c r="AI21" i="82"/>
  <c r="AH21" i="82"/>
  <c r="AI20" i="82"/>
  <c r="AH20" i="82"/>
  <c r="AI19" i="82"/>
  <c r="AH19" i="82"/>
  <c r="AI18" i="82"/>
  <c r="AH18" i="82"/>
  <c r="AI17" i="82"/>
  <c r="AH17" i="82"/>
  <c r="AI16" i="82"/>
  <c r="AH16" i="82"/>
  <c r="AI15" i="82"/>
  <c r="AH15" i="82"/>
  <c r="AI14" i="82"/>
  <c r="AH14" i="82"/>
  <c r="AI13" i="82"/>
  <c r="AH13" i="82"/>
  <c r="AI12" i="82"/>
  <c r="AH12" i="82"/>
  <c r="AI11" i="82"/>
  <c r="AH11" i="82"/>
  <c r="AF7" i="82"/>
  <c r="AE7" i="82"/>
  <c r="AD7" i="82"/>
  <c r="AC7" i="82"/>
  <c r="AB7" i="82"/>
  <c r="AA7" i="82"/>
  <c r="Z7" i="82"/>
  <c r="Y7" i="82"/>
  <c r="X7" i="82"/>
  <c r="W7" i="82"/>
  <c r="V7" i="82"/>
  <c r="U7" i="82"/>
  <c r="T7" i="82"/>
  <c r="S7" i="82"/>
  <c r="R7" i="82"/>
  <c r="Q7" i="82"/>
  <c r="P7" i="82"/>
  <c r="O7" i="82"/>
  <c r="N7" i="82"/>
  <c r="M7" i="82"/>
  <c r="L7" i="82"/>
  <c r="K7" i="82"/>
  <c r="J7" i="82"/>
  <c r="I7" i="82"/>
  <c r="H7" i="82"/>
  <c r="G7" i="82"/>
  <c r="F7" i="82"/>
  <c r="E7" i="82"/>
  <c r="D7" i="82"/>
  <c r="C7" i="82"/>
  <c r="B7" i="82"/>
  <c r="A7" i="82"/>
  <c r="AG6" i="82"/>
  <c r="K6" i="82"/>
  <c r="AF5" i="82"/>
  <c r="AE5" i="82"/>
  <c r="AD5" i="82"/>
  <c r="AC5" i="82"/>
  <c r="AB5" i="82"/>
  <c r="AA5" i="82"/>
  <c r="Z5" i="82"/>
  <c r="Y5" i="82"/>
  <c r="X5" i="82"/>
  <c r="W5" i="82"/>
  <c r="V5" i="82"/>
  <c r="U5" i="82"/>
  <c r="T5" i="82"/>
  <c r="S5" i="82"/>
  <c r="R5" i="82"/>
  <c r="Q5" i="82"/>
  <c r="P5" i="82"/>
  <c r="O5" i="82"/>
  <c r="N5" i="82"/>
  <c r="M5" i="82"/>
  <c r="L5" i="82"/>
  <c r="K5" i="82"/>
  <c r="J5" i="82"/>
  <c r="I5" i="82"/>
  <c r="G5" i="82"/>
  <c r="F5" i="82"/>
  <c r="E5" i="82"/>
  <c r="D5" i="82"/>
  <c r="C5" i="82"/>
  <c r="B5" i="82"/>
  <c r="AG4" i="82"/>
  <c r="K4" i="82"/>
  <c r="E4" i="82"/>
  <c r="B4" i="82"/>
  <c r="S246" i="82" s="1"/>
  <c r="AG3" i="82"/>
  <c r="AG2" i="82"/>
  <c r="AF274" i="81"/>
  <c r="AE274" i="81"/>
  <c r="AD274" i="81"/>
  <c r="AC274" i="81"/>
  <c r="AB274" i="81"/>
  <c r="AA274" i="81"/>
  <c r="Z274" i="81"/>
  <c r="Y274" i="81"/>
  <c r="X274" i="81"/>
  <c r="W274" i="81"/>
  <c r="V274" i="81"/>
  <c r="U274" i="81"/>
  <c r="T274" i="81"/>
  <c r="S274" i="81"/>
  <c r="R274" i="81"/>
  <c r="Q274" i="81"/>
  <c r="P274" i="81"/>
  <c r="O274" i="81"/>
  <c r="N274" i="81"/>
  <c r="M274" i="81"/>
  <c r="L274" i="81"/>
  <c r="K274" i="81"/>
  <c r="J274" i="81"/>
  <c r="I274" i="81"/>
  <c r="H274" i="81"/>
  <c r="G274" i="81"/>
  <c r="F274" i="81"/>
  <c r="E274" i="81"/>
  <c r="D274" i="81"/>
  <c r="C274" i="81"/>
  <c r="B274" i="81"/>
  <c r="A274" i="81"/>
  <c r="AF273" i="81"/>
  <c r="AE273" i="81"/>
  <c r="AD273" i="81"/>
  <c r="AC273" i="81"/>
  <c r="AB273" i="81"/>
  <c r="AA273" i="81"/>
  <c r="Z273" i="81"/>
  <c r="Y273" i="81"/>
  <c r="X273" i="81"/>
  <c r="W273" i="81"/>
  <c r="V273" i="81"/>
  <c r="U273" i="81"/>
  <c r="T273" i="81"/>
  <c r="S273" i="81"/>
  <c r="R273" i="81"/>
  <c r="Q273" i="81"/>
  <c r="P273" i="81"/>
  <c r="O273" i="81"/>
  <c r="N273" i="81"/>
  <c r="M273" i="81"/>
  <c r="L273" i="81"/>
  <c r="K273" i="81"/>
  <c r="J273" i="81"/>
  <c r="I273" i="81"/>
  <c r="H273" i="81"/>
  <c r="G273" i="81"/>
  <c r="F273" i="81"/>
  <c r="E273" i="81"/>
  <c r="D273" i="81"/>
  <c r="C273" i="81"/>
  <c r="B273" i="81"/>
  <c r="A273" i="81"/>
  <c r="AF272" i="81"/>
  <c r="AE272" i="81"/>
  <c r="AD272" i="81"/>
  <c r="AC272" i="81"/>
  <c r="AB272" i="81"/>
  <c r="AA272" i="81"/>
  <c r="Z272" i="81"/>
  <c r="Y272" i="81"/>
  <c r="X272" i="81"/>
  <c r="W272" i="81"/>
  <c r="V272" i="81"/>
  <c r="U272" i="81"/>
  <c r="T272" i="81"/>
  <c r="S272" i="81"/>
  <c r="R272" i="81"/>
  <c r="Q272" i="81"/>
  <c r="P272" i="81"/>
  <c r="O272" i="81"/>
  <c r="N272" i="81"/>
  <c r="M272" i="81"/>
  <c r="L272" i="81"/>
  <c r="K272" i="81"/>
  <c r="J272" i="81"/>
  <c r="I272" i="81"/>
  <c r="H272" i="81"/>
  <c r="G272" i="81"/>
  <c r="F272" i="81"/>
  <c r="E272" i="81"/>
  <c r="D272" i="81"/>
  <c r="C272" i="81"/>
  <c r="B272" i="81"/>
  <c r="A272" i="81"/>
  <c r="AF271" i="81"/>
  <c r="AE271" i="81"/>
  <c r="AD271" i="81"/>
  <c r="AC271" i="81"/>
  <c r="AB271" i="81"/>
  <c r="AA271" i="81"/>
  <c r="Z271" i="81"/>
  <c r="Y271" i="81"/>
  <c r="X271" i="81"/>
  <c r="W271" i="81"/>
  <c r="V271" i="81"/>
  <c r="U271" i="81"/>
  <c r="T271" i="81"/>
  <c r="S271" i="81"/>
  <c r="R271" i="81"/>
  <c r="Q271" i="81"/>
  <c r="P271" i="81"/>
  <c r="O271" i="81"/>
  <c r="N271" i="81"/>
  <c r="M271" i="81"/>
  <c r="L271" i="81"/>
  <c r="K271" i="81"/>
  <c r="J271" i="81"/>
  <c r="I271" i="81"/>
  <c r="H271" i="81"/>
  <c r="G271" i="81"/>
  <c r="F271" i="81"/>
  <c r="E271" i="81"/>
  <c r="D271" i="81"/>
  <c r="C271" i="81"/>
  <c r="B271" i="81"/>
  <c r="A271" i="81"/>
  <c r="AF270" i="81"/>
  <c r="AE270" i="81"/>
  <c r="AD270" i="81"/>
  <c r="AC270" i="81"/>
  <c r="AB270" i="81"/>
  <c r="AA270" i="81"/>
  <c r="Z270" i="81"/>
  <c r="Y270" i="81"/>
  <c r="X270" i="81"/>
  <c r="W270" i="81"/>
  <c r="V270" i="81"/>
  <c r="U270" i="81"/>
  <c r="T270" i="81"/>
  <c r="S270" i="81"/>
  <c r="R270" i="81"/>
  <c r="Q270" i="81"/>
  <c r="P270" i="81"/>
  <c r="O270" i="81"/>
  <c r="N270" i="81"/>
  <c r="M270" i="81"/>
  <c r="L270" i="81"/>
  <c r="K270" i="81"/>
  <c r="J270" i="81"/>
  <c r="I270" i="81"/>
  <c r="H270" i="81"/>
  <c r="G270" i="81"/>
  <c r="F270" i="81"/>
  <c r="E270" i="81"/>
  <c r="D270" i="81"/>
  <c r="C270" i="81"/>
  <c r="B270" i="81"/>
  <c r="AX249" i="81"/>
  <c r="AW249" i="81"/>
  <c r="AV249" i="81"/>
  <c r="AU249" i="81"/>
  <c r="AT249" i="81"/>
  <c r="AS249" i="81"/>
  <c r="AR249" i="81"/>
  <c r="AQ249" i="81"/>
  <c r="AP249" i="81"/>
  <c r="AO249" i="81"/>
  <c r="AN249" i="81"/>
  <c r="AM249" i="81"/>
  <c r="AL249" i="81"/>
  <c r="AK249" i="81"/>
  <c r="AJ249" i="81"/>
  <c r="AI249" i="81"/>
  <c r="AH249" i="81"/>
  <c r="AG249" i="81"/>
  <c r="AF249" i="81"/>
  <c r="AE249" i="81"/>
  <c r="AD249" i="81"/>
  <c r="AC249" i="81"/>
  <c r="AB249" i="81"/>
  <c r="AA249" i="81"/>
  <c r="Z249" i="81"/>
  <c r="Y249" i="81"/>
  <c r="X249" i="81"/>
  <c r="W249" i="81"/>
  <c r="V249" i="81"/>
  <c r="U249" i="81"/>
  <c r="T249" i="81"/>
  <c r="S245" i="81"/>
  <c r="C244" i="81"/>
  <c r="B244" i="81"/>
  <c r="AG235" i="81"/>
  <c r="AF235" i="81"/>
  <c r="AE235" i="81"/>
  <c r="AD235" i="81"/>
  <c r="AC235" i="81"/>
  <c r="AB235" i="81"/>
  <c r="AA235" i="81"/>
  <c r="Z235" i="81"/>
  <c r="Y235" i="81"/>
  <c r="X235" i="81"/>
  <c r="W235" i="81"/>
  <c r="V235" i="81"/>
  <c r="U235" i="81"/>
  <c r="T235" i="81"/>
  <c r="S235" i="81"/>
  <c r="R235" i="81"/>
  <c r="Q235" i="81"/>
  <c r="H235" i="81"/>
  <c r="G235" i="81"/>
  <c r="F235" i="81"/>
  <c r="E235" i="81"/>
  <c r="D235" i="81"/>
  <c r="C235" i="81"/>
  <c r="B235" i="81"/>
  <c r="P234" i="81"/>
  <c r="O234" i="81"/>
  <c r="N234" i="81"/>
  <c r="M234" i="81"/>
  <c r="L234" i="81"/>
  <c r="K234" i="81"/>
  <c r="J234" i="81"/>
  <c r="I234" i="81"/>
  <c r="H234" i="81"/>
  <c r="G234" i="81"/>
  <c r="F234" i="81"/>
  <c r="E234" i="81"/>
  <c r="D234" i="81"/>
  <c r="B234" i="81"/>
  <c r="P233" i="81"/>
  <c r="O233" i="81"/>
  <c r="N233" i="81"/>
  <c r="M233" i="81"/>
  <c r="L233" i="81"/>
  <c r="K233" i="81"/>
  <c r="J233" i="81"/>
  <c r="I233" i="81"/>
  <c r="H233" i="81"/>
  <c r="G233" i="81"/>
  <c r="F233" i="81"/>
  <c r="E233" i="81"/>
  <c r="D233" i="81"/>
  <c r="B233" i="81"/>
  <c r="P232" i="81"/>
  <c r="O232" i="81"/>
  <c r="N232" i="81"/>
  <c r="M232" i="81"/>
  <c r="L232" i="81"/>
  <c r="K232" i="81"/>
  <c r="J232" i="81"/>
  <c r="I232" i="81"/>
  <c r="H232" i="81"/>
  <c r="G232" i="81"/>
  <c r="F232" i="81"/>
  <c r="E232" i="81"/>
  <c r="D232" i="81"/>
  <c r="B232" i="81"/>
  <c r="H231" i="81"/>
  <c r="G231" i="81"/>
  <c r="F231" i="81"/>
  <c r="E231" i="81"/>
  <c r="D231" i="81"/>
  <c r="B231" i="81"/>
  <c r="P230" i="81"/>
  <c r="O230" i="81"/>
  <c r="N230" i="81"/>
  <c r="M230" i="81"/>
  <c r="L230" i="81"/>
  <c r="K230" i="81"/>
  <c r="J230" i="81"/>
  <c r="I230" i="81"/>
  <c r="H230" i="81"/>
  <c r="G230" i="81"/>
  <c r="F230" i="81"/>
  <c r="E230" i="81"/>
  <c r="D230" i="81"/>
  <c r="B230" i="81"/>
  <c r="P229" i="81"/>
  <c r="O229" i="81"/>
  <c r="N229" i="81"/>
  <c r="M229" i="81"/>
  <c r="L229" i="81"/>
  <c r="K229" i="81"/>
  <c r="J229" i="81"/>
  <c r="I229" i="81"/>
  <c r="H229" i="81"/>
  <c r="G229" i="81"/>
  <c r="F229" i="81"/>
  <c r="E229" i="81"/>
  <c r="D229" i="81"/>
  <c r="B229" i="81"/>
  <c r="AG227" i="81"/>
  <c r="AF227" i="81"/>
  <c r="AE227" i="81"/>
  <c r="AD227" i="81"/>
  <c r="AC227" i="81"/>
  <c r="AB227" i="81"/>
  <c r="AA227" i="81"/>
  <c r="Z227" i="81"/>
  <c r="Y227" i="81"/>
  <c r="X227" i="81"/>
  <c r="W227" i="81"/>
  <c r="V227" i="81"/>
  <c r="U227" i="81"/>
  <c r="T227" i="81"/>
  <c r="S227" i="81"/>
  <c r="R227" i="81"/>
  <c r="Q227" i="81"/>
  <c r="P227" i="81"/>
  <c r="O227" i="81"/>
  <c r="N227" i="81"/>
  <c r="M227" i="81"/>
  <c r="L227" i="81"/>
  <c r="K227" i="81"/>
  <c r="J227" i="81"/>
  <c r="I227" i="81"/>
  <c r="H227" i="81"/>
  <c r="G227" i="81"/>
  <c r="F227" i="81"/>
  <c r="E227" i="81"/>
  <c r="D227" i="81"/>
  <c r="C227" i="81"/>
  <c r="B227" i="81"/>
  <c r="AI120" i="81"/>
  <c r="AH120" i="81"/>
  <c r="AI119" i="81"/>
  <c r="AH119" i="81"/>
  <c r="AI118" i="81"/>
  <c r="AH118" i="81"/>
  <c r="AI117" i="81"/>
  <c r="AH117" i="81"/>
  <c r="AI116" i="81"/>
  <c r="AH116" i="81"/>
  <c r="AI115" i="81"/>
  <c r="AH115" i="81"/>
  <c r="AI114" i="81"/>
  <c r="AH114" i="81"/>
  <c r="AI113" i="81"/>
  <c r="AH113" i="81"/>
  <c r="P113" i="81"/>
  <c r="O113" i="81"/>
  <c r="N113" i="81"/>
  <c r="M113" i="81"/>
  <c r="L113" i="81"/>
  <c r="K113" i="81"/>
  <c r="J113" i="81"/>
  <c r="I113" i="81"/>
  <c r="H113" i="81"/>
  <c r="F113" i="81"/>
  <c r="E113" i="81"/>
  <c r="AI112" i="81"/>
  <c r="AH112" i="81"/>
  <c r="AI111" i="81"/>
  <c r="AH111" i="81"/>
  <c r="AI110" i="81"/>
  <c r="AH110" i="81"/>
  <c r="AF110" i="81"/>
  <c r="AE110" i="81"/>
  <c r="AD110" i="81"/>
  <c r="AC110" i="81"/>
  <c r="AB110" i="81"/>
  <c r="AA110" i="81"/>
  <c r="Z110" i="81"/>
  <c r="Y110" i="81"/>
  <c r="X110" i="81"/>
  <c r="W110" i="81"/>
  <c r="V110" i="81"/>
  <c r="U110" i="81"/>
  <c r="T110" i="81"/>
  <c r="S110" i="81"/>
  <c r="R110" i="81"/>
  <c r="Q110" i="81"/>
  <c r="P110" i="81"/>
  <c r="O110" i="81"/>
  <c r="N110" i="81"/>
  <c r="M110" i="81"/>
  <c r="L110" i="81"/>
  <c r="K110" i="81"/>
  <c r="J110" i="81"/>
  <c r="I110" i="81"/>
  <c r="H110" i="81"/>
  <c r="G110" i="81"/>
  <c r="F110" i="81"/>
  <c r="E110" i="81"/>
  <c r="D110" i="81"/>
  <c r="C110" i="81"/>
  <c r="B110" i="81"/>
  <c r="AI109" i="81"/>
  <c r="AH109" i="81"/>
  <c r="AI108" i="81"/>
  <c r="AH108" i="81"/>
  <c r="AI107" i="81"/>
  <c r="AH107" i="81"/>
  <c r="AI106" i="81"/>
  <c r="AH106" i="81"/>
  <c r="AI105" i="81"/>
  <c r="AH105" i="81"/>
  <c r="AI104" i="81"/>
  <c r="AH104" i="81"/>
  <c r="AI103" i="81"/>
  <c r="AH103" i="81"/>
  <c r="AI102" i="81"/>
  <c r="AH102" i="81"/>
  <c r="AI101" i="81"/>
  <c r="AH101" i="81"/>
  <c r="AI100" i="81"/>
  <c r="AH100" i="81"/>
  <c r="AF100" i="81"/>
  <c r="AE100" i="81"/>
  <c r="AD100" i="81"/>
  <c r="AC100" i="81"/>
  <c r="AB100" i="81"/>
  <c r="AA100" i="81"/>
  <c r="Z100" i="81"/>
  <c r="Y100" i="81"/>
  <c r="X100" i="81"/>
  <c r="W100" i="81"/>
  <c r="V100" i="81"/>
  <c r="U100" i="81"/>
  <c r="T100" i="81"/>
  <c r="S100" i="81"/>
  <c r="R100" i="81"/>
  <c r="Q100" i="81"/>
  <c r="P100" i="81"/>
  <c r="O100" i="81"/>
  <c r="N100" i="81"/>
  <c r="M100" i="81"/>
  <c r="L100" i="81"/>
  <c r="K100" i="81"/>
  <c r="J100" i="81"/>
  <c r="I100" i="81"/>
  <c r="H100" i="81"/>
  <c r="G100" i="81"/>
  <c r="F100" i="81"/>
  <c r="E100" i="81"/>
  <c r="D100" i="81"/>
  <c r="C100" i="81"/>
  <c r="B100" i="81"/>
  <c r="AI99" i="81"/>
  <c r="AH99" i="81"/>
  <c r="AF99" i="81"/>
  <c r="AE99" i="81"/>
  <c r="AD99" i="81"/>
  <c r="AC99" i="81"/>
  <c r="AB99" i="81"/>
  <c r="AA99" i="81"/>
  <c r="Z99" i="81"/>
  <c r="Y99" i="81"/>
  <c r="X99" i="81"/>
  <c r="W99" i="81"/>
  <c r="V99" i="81"/>
  <c r="U99" i="81"/>
  <c r="T99" i="81"/>
  <c r="S99" i="81"/>
  <c r="R99" i="81"/>
  <c r="Q99" i="81"/>
  <c r="P99" i="81"/>
  <c r="O99" i="81"/>
  <c r="N99" i="81"/>
  <c r="M99" i="81"/>
  <c r="L99" i="81"/>
  <c r="K99" i="81"/>
  <c r="J99" i="81"/>
  <c r="I99" i="81"/>
  <c r="H99" i="81"/>
  <c r="G99" i="81"/>
  <c r="F99" i="81"/>
  <c r="E99" i="81"/>
  <c r="D99" i="81"/>
  <c r="C99" i="81"/>
  <c r="B99" i="81"/>
  <c r="AI98" i="81"/>
  <c r="AH98" i="81"/>
  <c r="AI97" i="81"/>
  <c r="AH97" i="81"/>
  <c r="AI96" i="81"/>
  <c r="AH96" i="81"/>
  <c r="AI95" i="81"/>
  <c r="AH95" i="81"/>
  <c r="AI94" i="81"/>
  <c r="AH94" i="81"/>
  <c r="AI93" i="81"/>
  <c r="AH93" i="81"/>
  <c r="AI92" i="81"/>
  <c r="AH92" i="81"/>
  <c r="AF92" i="81"/>
  <c r="AE92" i="81"/>
  <c r="AD92" i="81"/>
  <c r="AC92" i="81"/>
  <c r="AB92" i="81"/>
  <c r="AA92" i="81"/>
  <c r="Z92" i="81"/>
  <c r="Y92" i="81"/>
  <c r="X92" i="81"/>
  <c r="W92" i="81"/>
  <c r="V92" i="81"/>
  <c r="U92" i="81"/>
  <c r="T92" i="81"/>
  <c r="S92" i="81"/>
  <c r="R92" i="81"/>
  <c r="Q92" i="81"/>
  <c r="P92" i="81"/>
  <c r="O92" i="81"/>
  <c r="N92" i="81"/>
  <c r="M92" i="81"/>
  <c r="L92" i="81"/>
  <c r="K92" i="81"/>
  <c r="J92" i="81"/>
  <c r="I92" i="81"/>
  <c r="H92" i="81"/>
  <c r="G92" i="81"/>
  <c r="F92" i="81"/>
  <c r="E92" i="81"/>
  <c r="D92" i="81"/>
  <c r="C92" i="81"/>
  <c r="B92" i="81"/>
  <c r="AI91" i="81"/>
  <c r="AH91" i="81"/>
  <c r="AG91" i="81"/>
  <c r="AF91" i="81"/>
  <c r="AE91" i="81"/>
  <c r="AD91" i="81"/>
  <c r="AC91" i="81"/>
  <c r="AB91" i="81"/>
  <c r="AA91" i="81"/>
  <c r="Z91" i="81"/>
  <c r="Y91" i="81"/>
  <c r="X91" i="81"/>
  <c r="W91" i="81"/>
  <c r="V91" i="81"/>
  <c r="U91" i="81"/>
  <c r="T91" i="81"/>
  <c r="S91" i="81"/>
  <c r="R91" i="81"/>
  <c r="Q91" i="81"/>
  <c r="P91" i="81"/>
  <c r="O91" i="81"/>
  <c r="N91" i="81"/>
  <c r="M91" i="81"/>
  <c r="L91" i="81"/>
  <c r="K91" i="81"/>
  <c r="J91" i="81"/>
  <c r="I91" i="81"/>
  <c r="H91" i="81"/>
  <c r="G91" i="81"/>
  <c r="F91" i="81"/>
  <c r="E91" i="81"/>
  <c r="D91" i="81"/>
  <c r="C91" i="81"/>
  <c r="B91" i="81"/>
  <c r="AI90" i="81"/>
  <c r="AH90" i="81"/>
  <c r="AI89" i="81"/>
  <c r="AH89" i="81"/>
  <c r="AG89" i="81"/>
  <c r="AF89" i="81"/>
  <c r="AE89" i="81"/>
  <c r="AD89" i="81"/>
  <c r="AC89" i="81"/>
  <c r="AB89" i="81"/>
  <c r="AA89" i="81"/>
  <c r="Z89" i="81"/>
  <c r="Y89" i="81"/>
  <c r="X89" i="81"/>
  <c r="W89" i="81"/>
  <c r="V89" i="81"/>
  <c r="U89" i="81"/>
  <c r="T89" i="81"/>
  <c r="S89" i="81"/>
  <c r="R89" i="81"/>
  <c r="Q89" i="81"/>
  <c r="P89" i="81"/>
  <c r="O89" i="81"/>
  <c r="N89" i="81"/>
  <c r="M89" i="81"/>
  <c r="L89" i="81"/>
  <c r="K89" i="81"/>
  <c r="J89" i="81"/>
  <c r="I89" i="81"/>
  <c r="H89" i="81"/>
  <c r="G89" i="81"/>
  <c r="F89" i="81"/>
  <c r="E89" i="81"/>
  <c r="D89" i="81"/>
  <c r="C89" i="81"/>
  <c r="B89" i="81"/>
  <c r="AI88" i="81"/>
  <c r="AH88" i="81"/>
  <c r="AG88" i="81"/>
  <c r="AI87" i="81"/>
  <c r="AH87" i="81"/>
  <c r="AI86" i="81"/>
  <c r="AH86" i="81"/>
  <c r="AI85" i="81"/>
  <c r="AH85" i="81"/>
  <c r="AI84" i="81"/>
  <c r="AH84" i="81"/>
  <c r="AG84" i="81"/>
  <c r="AF84" i="81"/>
  <c r="AE84" i="81"/>
  <c r="AD84" i="81"/>
  <c r="AC84" i="81"/>
  <c r="AB84" i="81"/>
  <c r="AA84" i="81"/>
  <c r="Z84" i="81"/>
  <c r="Y84" i="81"/>
  <c r="X84" i="81"/>
  <c r="W84" i="81"/>
  <c r="V84" i="81"/>
  <c r="U84" i="81"/>
  <c r="T84" i="81"/>
  <c r="S84" i="81"/>
  <c r="R84" i="81"/>
  <c r="Q84" i="81"/>
  <c r="P84" i="81"/>
  <c r="O84" i="81"/>
  <c r="N84" i="81"/>
  <c r="M84" i="81"/>
  <c r="L84" i="81"/>
  <c r="K84" i="81"/>
  <c r="J84" i="81"/>
  <c r="I84" i="81"/>
  <c r="H84" i="81"/>
  <c r="G84" i="81"/>
  <c r="F84" i="81"/>
  <c r="E84" i="81"/>
  <c r="D84" i="81"/>
  <c r="C84" i="81"/>
  <c r="B84" i="81"/>
  <c r="AI83" i="81"/>
  <c r="AH83" i="81"/>
  <c r="AI82" i="81"/>
  <c r="AH82" i="81"/>
  <c r="AI81" i="81"/>
  <c r="AH81" i="81"/>
  <c r="AI80" i="81"/>
  <c r="AH80" i="81"/>
  <c r="AI79" i="81"/>
  <c r="AH79" i="81"/>
  <c r="AI78" i="81"/>
  <c r="AH78" i="81"/>
  <c r="AI77" i="81"/>
  <c r="AH77" i="81"/>
  <c r="AI76" i="81"/>
  <c r="AH76" i="81"/>
  <c r="AI75" i="81"/>
  <c r="AH75" i="81"/>
  <c r="AI74" i="81"/>
  <c r="AH74" i="81"/>
  <c r="AI73" i="81"/>
  <c r="AH73" i="81"/>
  <c r="AI72" i="81"/>
  <c r="AH72" i="81"/>
  <c r="AG72" i="81"/>
  <c r="AF72" i="81"/>
  <c r="AE72" i="81"/>
  <c r="AD72" i="81"/>
  <c r="AC72" i="81"/>
  <c r="AB72" i="81"/>
  <c r="AA72" i="81"/>
  <c r="Z72" i="81"/>
  <c r="Y72" i="81"/>
  <c r="X72" i="81"/>
  <c r="W72" i="81"/>
  <c r="V72" i="81"/>
  <c r="U72" i="81"/>
  <c r="T72" i="81"/>
  <c r="S72" i="81"/>
  <c r="R72" i="81"/>
  <c r="Q72" i="81"/>
  <c r="P72" i="81"/>
  <c r="O72" i="81"/>
  <c r="N72" i="81"/>
  <c r="M72" i="81"/>
  <c r="L72" i="81"/>
  <c r="B72" i="81"/>
  <c r="AI71" i="81"/>
  <c r="AH71" i="81"/>
  <c r="AI70" i="81"/>
  <c r="AH70" i="81"/>
  <c r="AI69" i="81"/>
  <c r="AH69" i="81"/>
  <c r="AI68" i="81"/>
  <c r="AH68" i="81"/>
  <c r="AG68" i="81"/>
  <c r="AF68" i="81"/>
  <c r="AE68" i="81"/>
  <c r="AD68" i="81"/>
  <c r="AC68" i="81"/>
  <c r="AB68" i="81"/>
  <c r="AA68" i="81"/>
  <c r="Z68" i="81"/>
  <c r="Y68" i="81"/>
  <c r="X68" i="81"/>
  <c r="W68" i="81"/>
  <c r="V68" i="81"/>
  <c r="U68" i="81"/>
  <c r="T68" i="81"/>
  <c r="S68" i="81"/>
  <c r="R68" i="81"/>
  <c r="Q68" i="81"/>
  <c r="P68" i="81"/>
  <c r="O68" i="81"/>
  <c r="N68" i="81"/>
  <c r="M68" i="81"/>
  <c r="L68" i="81"/>
  <c r="K68" i="81"/>
  <c r="J68" i="81"/>
  <c r="I68" i="81"/>
  <c r="H68" i="81"/>
  <c r="G68" i="81"/>
  <c r="F68" i="81"/>
  <c r="E68" i="81"/>
  <c r="D68" i="81"/>
  <c r="C68" i="81"/>
  <c r="B68" i="81"/>
  <c r="AI67" i="81"/>
  <c r="AH67" i="81"/>
  <c r="AG67" i="81"/>
  <c r="AI66" i="81"/>
  <c r="AH66" i="81"/>
  <c r="AI65" i="81"/>
  <c r="AH65" i="81"/>
  <c r="AI64" i="81"/>
  <c r="AH64" i="81"/>
  <c r="AI63" i="81"/>
  <c r="AH63" i="81"/>
  <c r="AI62" i="81"/>
  <c r="AH62" i="81"/>
  <c r="AI61" i="81"/>
  <c r="AH61" i="81"/>
  <c r="AI60" i="81"/>
  <c r="AH60" i="81"/>
  <c r="AI59" i="81"/>
  <c r="AH59" i="81"/>
  <c r="AI58" i="81"/>
  <c r="AH58" i="81"/>
  <c r="AI57" i="81"/>
  <c r="AH57" i="81"/>
  <c r="AI56" i="81"/>
  <c r="AH56" i="81"/>
  <c r="AI55" i="81"/>
  <c r="AH55" i="81"/>
  <c r="AI54" i="81"/>
  <c r="AH54" i="81"/>
  <c r="AG54" i="81"/>
  <c r="AF54" i="81"/>
  <c r="AE54" i="81"/>
  <c r="AD54" i="81"/>
  <c r="AC54" i="81"/>
  <c r="AB54" i="81"/>
  <c r="AA54" i="81"/>
  <c r="Z54" i="81"/>
  <c r="Y54" i="81"/>
  <c r="X54" i="81"/>
  <c r="W54" i="81"/>
  <c r="V54" i="81"/>
  <c r="U54" i="81"/>
  <c r="T54" i="81"/>
  <c r="S54" i="81"/>
  <c r="R54" i="81"/>
  <c r="Q54" i="81"/>
  <c r="P54" i="81"/>
  <c r="O54" i="81"/>
  <c r="N54" i="81"/>
  <c r="M54" i="81"/>
  <c r="L54" i="81"/>
  <c r="K54" i="81"/>
  <c r="J54" i="81"/>
  <c r="I54" i="81"/>
  <c r="H54" i="81"/>
  <c r="G54" i="81"/>
  <c r="F54" i="81"/>
  <c r="E54" i="81"/>
  <c r="D54" i="81"/>
  <c r="C54" i="81"/>
  <c r="B54" i="81"/>
  <c r="AI53" i="81"/>
  <c r="AH53" i="81"/>
  <c r="AI52" i="81"/>
  <c r="AH52" i="81"/>
  <c r="AI51" i="81"/>
  <c r="AH51" i="81"/>
  <c r="AI50" i="81"/>
  <c r="AH50" i="81"/>
  <c r="AG50" i="81"/>
  <c r="AF50" i="81"/>
  <c r="AE50" i="81"/>
  <c r="AD50" i="81"/>
  <c r="AC50" i="81"/>
  <c r="AB50" i="81"/>
  <c r="AA50" i="81"/>
  <c r="Z50" i="81"/>
  <c r="Y50" i="81"/>
  <c r="X50" i="81"/>
  <c r="W50" i="81"/>
  <c r="V50" i="81"/>
  <c r="U50" i="81"/>
  <c r="T50" i="81"/>
  <c r="S50" i="81"/>
  <c r="R50" i="81"/>
  <c r="Q50" i="81"/>
  <c r="P50" i="81"/>
  <c r="O50" i="81"/>
  <c r="N50" i="81"/>
  <c r="M50" i="81"/>
  <c r="L50" i="81"/>
  <c r="K50" i="81"/>
  <c r="J50" i="81"/>
  <c r="I50" i="81"/>
  <c r="H50" i="81"/>
  <c r="G50" i="81"/>
  <c r="F50" i="81"/>
  <c r="E50" i="81"/>
  <c r="D50" i="81"/>
  <c r="C50" i="81"/>
  <c r="B50" i="81"/>
  <c r="AI49" i="81"/>
  <c r="AH49" i="81"/>
  <c r="W49" i="81"/>
  <c r="P49" i="81"/>
  <c r="N49" i="81"/>
  <c r="M49" i="81"/>
  <c r="AI48" i="81"/>
  <c r="AH48" i="81"/>
  <c r="AI47" i="81"/>
  <c r="AH47" i="81"/>
  <c r="AI46" i="81"/>
  <c r="AH46" i="81"/>
  <c r="AI45" i="81"/>
  <c r="AH45" i="81"/>
  <c r="AI44" i="81"/>
  <c r="AH44" i="81"/>
  <c r="AI43" i="81"/>
  <c r="AH43" i="81"/>
  <c r="AI42" i="81"/>
  <c r="AH42" i="81"/>
  <c r="AI41" i="81"/>
  <c r="AH41" i="81"/>
  <c r="AI40" i="81"/>
  <c r="AH40" i="81"/>
  <c r="AI39" i="81"/>
  <c r="AH39" i="81"/>
  <c r="AI38" i="81"/>
  <c r="AH38" i="81"/>
  <c r="AI37" i="81"/>
  <c r="AH37" i="81"/>
  <c r="AI36" i="81"/>
  <c r="AH36" i="81"/>
  <c r="AI35" i="81"/>
  <c r="AH35" i="81"/>
  <c r="AI34" i="81"/>
  <c r="AH34" i="81"/>
  <c r="AI33" i="81"/>
  <c r="AH33" i="81"/>
  <c r="AI32" i="81"/>
  <c r="AH32" i="81"/>
  <c r="AI31" i="81"/>
  <c r="AH31" i="81"/>
  <c r="AI30" i="81"/>
  <c r="AH30" i="81"/>
  <c r="AI29" i="81"/>
  <c r="AH29" i="81"/>
  <c r="AI28" i="81"/>
  <c r="AH28" i="81"/>
  <c r="AI27" i="81"/>
  <c r="AH27" i="81"/>
  <c r="AI26" i="81"/>
  <c r="AH26" i="81"/>
  <c r="AI25" i="81"/>
  <c r="AH25" i="81"/>
  <c r="AI24" i="81"/>
  <c r="AH24" i="81"/>
  <c r="AI23" i="81"/>
  <c r="AH23" i="81"/>
  <c r="AI22" i="81"/>
  <c r="AH22" i="81"/>
  <c r="AI21" i="81"/>
  <c r="AH21" i="81"/>
  <c r="AI20" i="81"/>
  <c r="AH20" i="81"/>
  <c r="AI19" i="81"/>
  <c r="AH19" i="81"/>
  <c r="AI18" i="81"/>
  <c r="AH18" i="81"/>
  <c r="AI17" i="81"/>
  <c r="AH17" i="81"/>
  <c r="AI16" i="81"/>
  <c r="AH16" i="81"/>
  <c r="AI15" i="81"/>
  <c r="AH15" i="81"/>
  <c r="AI14" i="81"/>
  <c r="AH14" i="81"/>
  <c r="AI13" i="81"/>
  <c r="AH13" i="81"/>
  <c r="AI12" i="81"/>
  <c r="AH12" i="81"/>
  <c r="AI11" i="81"/>
  <c r="AH11" i="81"/>
  <c r="AF7" i="81"/>
  <c r="AE7" i="81"/>
  <c r="AD7" i="81"/>
  <c r="AC7" i="81"/>
  <c r="AB7" i="81"/>
  <c r="AA7" i="81"/>
  <c r="Z7" i="81"/>
  <c r="Y7" i="81"/>
  <c r="X7" i="81"/>
  <c r="W7" i="81"/>
  <c r="V7" i="81"/>
  <c r="U7" i="81"/>
  <c r="T7" i="81"/>
  <c r="S7" i="81"/>
  <c r="R7" i="81"/>
  <c r="Q7" i="81"/>
  <c r="P7" i="81"/>
  <c r="O7" i="81"/>
  <c r="N7" i="81"/>
  <c r="M7" i="81"/>
  <c r="L7" i="81"/>
  <c r="K7" i="81"/>
  <c r="J7" i="81"/>
  <c r="I7" i="81"/>
  <c r="H7" i="81"/>
  <c r="G7" i="81"/>
  <c r="F7" i="81"/>
  <c r="E7" i="81"/>
  <c r="D7" i="81"/>
  <c r="C7" i="81"/>
  <c r="B7" i="81"/>
  <c r="A7" i="81"/>
  <c r="AG6" i="81"/>
  <c r="K6" i="81"/>
  <c r="AF5" i="81"/>
  <c r="AE5" i="81"/>
  <c r="AD5" i="81"/>
  <c r="AC5" i="81"/>
  <c r="AB5" i="81"/>
  <c r="AA5" i="81"/>
  <c r="Z5" i="81"/>
  <c r="Y5" i="81"/>
  <c r="X5" i="81"/>
  <c r="W5" i="81"/>
  <c r="V5" i="81"/>
  <c r="U5" i="81"/>
  <c r="T5" i="81"/>
  <c r="S5" i="81"/>
  <c r="R5" i="81"/>
  <c r="Q5" i="81"/>
  <c r="P5" i="81"/>
  <c r="O5" i="81"/>
  <c r="N5" i="81"/>
  <c r="M5" i="81"/>
  <c r="L5" i="81"/>
  <c r="K5" i="81"/>
  <c r="J5" i="81"/>
  <c r="I5" i="81"/>
  <c r="H5" i="81"/>
  <c r="G5" i="81"/>
  <c r="F5" i="81"/>
  <c r="E5" i="81"/>
  <c r="D5" i="81"/>
  <c r="C5" i="81"/>
  <c r="B5" i="81"/>
  <c r="AG4" i="81"/>
  <c r="K4" i="81"/>
  <c r="E4" i="81"/>
  <c r="B4" i="81"/>
  <c r="S246" i="81" s="1"/>
  <c r="AG3" i="81"/>
  <c r="AG2" i="81"/>
  <c r="AF274" i="80"/>
  <c r="AE274" i="80"/>
  <c r="AD274" i="80"/>
  <c r="AC274" i="80"/>
  <c r="AB274" i="80"/>
  <c r="AA274" i="80"/>
  <c r="Z274" i="80"/>
  <c r="Y274" i="80"/>
  <c r="X274" i="80"/>
  <c r="W274" i="80"/>
  <c r="V274" i="80"/>
  <c r="U274" i="80"/>
  <c r="T274" i="80"/>
  <c r="S274" i="80"/>
  <c r="R274" i="80"/>
  <c r="Q274" i="80"/>
  <c r="P274" i="80"/>
  <c r="O274" i="80"/>
  <c r="N274" i="80"/>
  <c r="M274" i="80"/>
  <c r="L274" i="80"/>
  <c r="K274" i="80"/>
  <c r="J274" i="80"/>
  <c r="I274" i="80"/>
  <c r="H274" i="80"/>
  <c r="G274" i="80"/>
  <c r="F274" i="80"/>
  <c r="E274" i="80"/>
  <c r="D274" i="80"/>
  <c r="C274" i="80"/>
  <c r="B274" i="80"/>
  <c r="A274" i="80"/>
  <c r="AF273" i="80"/>
  <c r="AE273" i="80"/>
  <c r="AD273" i="80"/>
  <c r="AC273" i="80"/>
  <c r="AB273" i="80"/>
  <c r="AA273" i="80"/>
  <c r="Z273" i="80"/>
  <c r="Y273" i="80"/>
  <c r="X273" i="80"/>
  <c r="W273" i="80"/>
  <c r="V273" i="80"/>
  <c r="U273" i="80"/>
  <c r="T273" i="80"/>
  <c r="S273" i="80"/>
  <c r="R273" i="80"/>
  <c r="Q273" i="80"/>
  <c r="P273" i="80"/>
  <c r="O273" i="80"/>
  <c r="N273" i="80"/>
  <c r="M273" i="80"/>
  <c r="L273" i="80"/>
  <c r="K273" i="80"/>
  <c r="J273" i="80"/>
  <c r="I273" i="80"/>
  <c r="H273" i="80"/>
  <c r="G273" i="80"/>
  <c r="F273" i="80"/>
  <c r="E273" i="80"/>
  <c r="D273" i="80"/>
  <c r="C273" i="80"/>
  <c r="B273" i="80"/>
  <c r="A273" i="80"/>
  <c r="AF272" i="80"/>
  <c r="AE272" i="80"/>
  <c r="AD272" i="80"/>
  <c r="AC272" i="80"/>
  <c r="AB272" i="80"/>
  <c r="AA272" i="80"/>
  <c r="Z272" i="80"/>
  <c r="Y272" i="80"/>
  <c r="X272" i="80"/>
  <c r="W272" i="80"/>
  <c r="V272" i="80"/>
  <c r="U272" i="80"/>
  <c r="T272" i="80"/>
  <c r="S272" i="80"/>
  <c r="R272" i="80"/>
  <c r="Q272" i="80"/>
  <c r="P272" i="80"/>
  <c r="O272" i="80"/>
  <c r="N272" i="80"/>
  <c r="M272" i="80"/>
  <c r="L272" i="80"/>
  <c r="K272" i="80"/>
  <c r="J272" i="80"/>
  <c r="I272" i="80"/>
  <c r="H272" i="80"/>
  <c r="G272" i="80"/>
  <c r="F272" i="80"/>
  <c r="E272" i="80"/>
  <c r="D272" i="80"/>
  <c r="C272" i="80"/>
  <c r="B272" i="80"/>
  <c r="A272" i="80"/>
  <c r="AF271" i="80"/>
  <c r="AE271" i="80"/>
  <c r="AD271" i="80"/>
  <c r="AC271" i="80"/>
  <c r="AB271" i="80"/>
  <c r="AA271" i="80"/>
  <c r="Z271" i="80"/>
  <c r="Y271" i="80"/>
  <c r="X271" i="80"/>
  <c r="W271" i="80"/>
  <c r="V271" i="80"/>
  <c r="U271" i="80"/>
  <c r="T271" i="80"/>
  <c r="S271" i="80"/>
  <c r="R271" i="80"/>
  <c r="Q271" i="80"/>
  <c r="P271" i="80"/>
  <c r="O271" i="80"/>
  <c r="N271" i="80"/>
  <c r="M271" i="80"/>
  <c r="L271" i="80"/>
  <c r="K271" i="80"/>
  <c r="J271" i="80"/>
  <c r="I271" i="80"/>
  <c r="H271" i="80"/>
  <c r="G271" i="80"/>
  <c r="F271" i="80"/>
  <c r="E271" i="80"/>
  <c r="D271" i="80"/>
  <c r="C271" i="80"/>
  <c r="B271" i="80"/>
  <c r="A271" i="80"/>
  <c r="AF270" i="80"/>
  <c r="AE270" i="80"/>
  <c r="AD270" i="80"/>
  <c r="AC270" i="80"/>
  <c r="AB270" i="80"/>
  <c r="AA270" i="80"/>
  <c r="Z270" i="80"/>
  <c r="Y270" i="80"/>
  <c r="X270" i="80"/>
  <c r="W270" i="80"/>
  <c r="V270" i="80"/>
  <c r="U270" i="80"/>
  <c r="T270" i="80"/>
  <c r="S270" i="80"/>
  <c r="R270" i="80"/>
  <c r="Q270" i="80"/>
  <c r="P270" i="80"/>
  <c r="O270" i="80"/>
  <c r="N270" i="80"/>
  <c r="M270" i="80"/>
  <c r="L270" i="80"/>
  <c r="K270" i="80"/>
  <c r="J270" i="80"/>
  <c r="I270" i="80"/>
  <c r="H270" i="80"/>
  <c r="G270" i="80"/>
  <c r="F270" i="80"/>
  <c r="E270" i="80"/>
  <c r="D270" i="80"/>
  <c r="C270" i="80"/>
  <c r="B270" i="80"/>
  <c r="AX249" i="80"/>
  <c r="AW249" i="80"/>
  <c r="AV249" i="80"/>
  <c r="AU249" i="80"/>
  <c r="AT249" i="80"/>
  <c r="AS249" i="80"/>
  <c r="AR249" i="80"/>
  <c r="AQ249" i="80"/>
  <c r="AP249" i="80"/>
  <c r="AO249" i="80"/>
  <c r="AN249" i="80"/>
  <c r="AM249" i="80"/>
  <c r="AL249" i="80"/>
  <c r="AK249" i="80"/>
  <c r="AJ249" i="80"/>
  <c r="AI249" i="80"/>
  <c r="AH249" i="80"/>
  <c r="AG249" i="80"/>
  <c r="AF249" i="80"/>
  <c r="AE249" i="80"/>
  <c r="AD249" i="80"/>
  <c r="AC249" i="80"/>
  <c r="AB249" i="80"/>
  <c r="AA249" i="80"/>
  <c r="Z249" i="80"/>
  <c r="Y249" i="80"/>
  <c r="X249" i="80"/>
  <c r="W249" i="80"/>
  <c r="V249" i="80"/>
  <c r="U249" i="80"/>
  <c r="T249" i="80"/>
  <c r="S245" i="80"/>
  <c r="C244" i="80"/>
  <c r="B244" i="80"/>
  <c r="AG235" i="80"/>
  <c r="AF235" i="80"/>
  <c r="AE235" i="80"/>
  <c r="AD235" i="80"/>
  <c r="AC235" i="80"/>
  <c r="AB235" i="80"/>
  <c r="AA235" i="80"/>
  <c r="Z235" i="80"/>
  <c r="Y235" i="80"/>
  <c r="X235" i="80"/>
  <c r="W235" i="80"/>
  <c r="V235" i="80"/>
  <c r="U235" i="80"/>
  <c r="T235" i="80"/>
  <c r="S235" i="80"/>
  <c r="R235" i="80"/>
  <c r="Q235" i="80"/>
  <c r="H235" i="80"/>
  <c r="G235" i="80"/>
  <c r="F235" i="80"/>
  <c r="E235" i="80"/>
  <c r="D235" i="80"/>
  <c r="C235" i="80"/>
  <c r="B235" i="80"/>
  <c r="P234" i="80"/>
  <c r="O234" i="80"/>
  <c r="N234" i="80"/>
  <c r="M234" i="80"/>
  <c r="L234" i="80"/>
  <c r="K234" i="80"/>
  <c r="J234" i="80"/>
  <c r="I234" i="80"/>
  <c r="H234" i="80"/>
  <c r="G234" i="80"/>
  <c r="F234" i="80"/>
  <c r="E234" i="80"/>
  <c r="D234" i="80"/>
  <c r="B234" i="80"/>
  <c r="P233" i="80"/>
  <c r="O233" i="80"/>
  <c r="N233" i="80"/>
  <c r="M233" i="80"/>
  <c r="L233" i="80"/>
  <c r="K233" i="80"/>
  <c r="J233" i="80"/>
  <c r="I233" i="80"/>
  <c r="H233" i="80"/>
  <c r="G233" i="80"/>
  <c r="F233" i="80"/>
  <c r="E233" i="80"/>
  <c r="D233" i="80"/>
  <c r="B233" i="80"/>
  <c r="P232" i="80"/>
  <c r="O232" i="80"/>
  <c r="N232" i="80"/>
  <c r="M232" i="80"/>
  <c r="L232" i="80"/>
  <c r="K232" i="80"/>
  <c r="J232" i="80"/>
  <c r="I232" i="80"/>
  <c r="H232" i="80"/>
  <c r="G232" i="80"/>
  <c r="F232" i="80"/>
  <c r="E232" i="80"/>
  <c r="D232" i="80"/>
  <c r="B232" i="80"/>
  <c r="H231" i="80"/>
  <c r="G231" i="80"/>
  <c r="F231" i="80"/>
  <c r="E231" i="80"/>
  <c r="D231" i="80"/>
  <c r="B231" i="80"/>
  <c r="P230" i="80"/>
  <c r="O230" i="80"/>
  <c r="N230" i="80"/>
  <c r="M230" i="80"/>
  <c r="L230" i="80"/>
  <c r="K230" i="80"/>
  <c r="J230" i="80"/>
  <c r="I230" i="80"/>
  <c r="H230" i="80"/>
  <c r="G230" i="80"/>
  <c r="F230" i="80"/>
  <c r="E230" i="80"/>
  <c r="D230" i="80"/>
  <c r="B230" i="80"/>
  <c r="P229" i="80"/>
  <c r="O229" i="80"/>
  <c r="N229" i="80"/>
  <c r="M229" i="80"/>
  <c r="L229" i="80"/>
  <c r="K229" i="80"/>
  <c r="J229" i="80"/>
  <c r="I229" i="80"/>
  <c r="H229" i="80"/>
  <c r="G229" i="80"/>
  <c r="F229" i="80"/>
  <c r="E229" i="80"/>
  <c r="D229" i="80"/>
  <c r="B229" i="80"/>
  <c r="AG227" i="80"/>
  <c r="AF227" i="80"/>
  <c r="AE227" i="80"/>
  <c r="AD227" i="80"/>
  <c r="AC227" i="80"/>
  <c r="AB227" i="80"/>
  <c r="AA227" i="80"/>
  <c r="Z227" i="80"/>
  <c r="Y227" i="80"/>
  <c r="X227" i="80"/>
  <c r="W227" i="80"/>
  <c r="V227" i="80"/>
  <c r="U227" i="80"/>
  <c r="T227" i="80"/>
  <c r="S227" i="80"/>
  <c r="R227" i="80"/>
  <c r="Q227" i="80"/>
  <c r="P227" i="80"/>
  <c r="O227" i="80"/>
  <c r="N227" i="80"/>
  <c r="M227" i="80"/>
  <c r="L227" i="80"/>
  <c r="K227" i="80"/>
  <c r="J227" i="80"/>
  <c r="I227" i="80"/>
  <c r="H227" i="80"/>
  <c r="G227" i="80"/>
  <c r="F227" i="80"/>
  <c r="E227" i="80"/>
  <c r="D227" i="80"/>
  <c r="C227" i="80"/>
  <c r="B227" i="80"/>
  <c r="AI120" i="80"/>
  <c r="AH120" i="80"/>
  <c r="AI119" i="80"/>
  <c r="AH119" i="80"/>
  <c r="AI118" i="80"/>
  <c r="AH118" i="80"/>
  <c r="AI117" i="80"/>
  <c r="AH117" i="80"/>
  <c r="AI116" i="80"/>
  <c r="AH116" i="80"/>
  <c r="AI115" i="80"/>
  <c r="AH115" i="80"/>
  <c r="AI114" i="80"/>
  <c r="AH114" i="80"/>
  <c r="AI113" i="80"/>
  <c r="AH113" i="80"/>
  <c r="AB113" i="80"/>
  <c r="R113" i="80"/>
  <c r="Q113" i="80"/>
  <c r="P113" i="80"/>
  <c r="O113" i="80"/>
  <c r="N113" i="80"/>
  <c r="M113" i="80"/>
  <c r="AI112" i="80"/>
  <c r="AH112" i="80"/>
  <c r="AI111" i="80"/>
  <c r="AH111" i="80"/>
  <c r="AF110" i="80"/>
  <c r="AE110" i="80"/>
  <c r="AC110" i="80"/>
  <c r="AB110" i="80"/>
  <c r="AA110" i="80"/>
  <c r="Z110" i="80"/>
  <c r="Y110" i="80"/>
  <c r="X110" i="80"/>
  <c r="W110" i="80"/>
  <c r="V110" i="80"/>
  <c r="U110" i="80"/>
  <c r="T110" i="80"/>
  <c r="S110" i="80"/>
  <c r="R110" i="80"/>
  <c r="Q110" i="80"/>
  <c r="O110" i="80"/>
  <c r="N110" i="80"/>
  <c r="M110" i="80"/>
  <c r="L110" i="80"/>
  <c r="AI110" i="80" s="1"/>
  <c r="K110" i="80"/>
  <c r="J110" i="80"/>
  <c r="I110" i="80"/>
  <c r="H110" i="80"/>
  <c r="G110" i="80"/>
  <c r="F110" i="80"/>
  <c r="E110" i="80"/>
  <c r="D110" i="80"/>
  <c r="C110" i="80"/>
  <c r="B110" i="80"/>
  <c r="AI109" i="80"/>
  <c r="AH109" i="80"/>
  <c r="AI108" i="80"/>
  <c r="AH108" i="80"/>
  <c r="AI107" i="80"/>
  <c r="AH107" i="80"/>
  <c r="AI106" i="80"/>
  <c r="AH106" i="80"/>
  <c r="AI105" i="80"/>
  <c r="AH105" i="80"/>
  <c r="AI104" i="80"/>
  <c r="AH104" i="80"/>
  <c r="AI103" i="80"/>
  <c r="AH103" i="80"/>
  <c r="AI102" i="80"/>
  <c r="AH102" i="80"/>
  <c r="AI101" i="80"/>
  <c r="AH101" i="80"/>
  <c r="AI100" i="80"/>
  <c r="AH100" i="80"/>
  <c r="AF100" i="80"/>
  <c r="AE100" i="80"/>
  <c r="AD100" i="80"/>
  <c r="AC100" i="80"/>
  <c r="AB100" i="80"/>
  <c r="AA100" i="80"/>
  <c r="Z100" i="80"/>
  <c r="Y100" i="80"/>
  <c r="X100" i="80"/>
  <c r="W100" i="80"/>
  <c r="V100" i="80"/>
  <c r="U100" i="80"/>
  <c r="T100" i="80"/>
  <c r="S100" i="80"/>
  <c r="R100" i="80"/>
  <c r="Q100" i="80"/>
  <c r="P100" i="80"/>
  <c r="O100" i="80"/>
  <c r="N100" i="80"/>
  <c r="M100" i="80"/>
  <c r="L100" i="80"/>
  <c r="K100" i="80"/>
  <c r="J100" i="80"/>
  <c r="I100" i="80"/>
  <c r="H100" i="80"/>
  <c r="G100" i="80"/>
  <c r="F100" i="80"/>
  <c r="E100" i="80"/>
  <c r="D100" i="80"/>
  <c r="C100" i="80"/>
  <c r="B100" i="80"/>
  <c r="AI99" i="80"/>
  <c r="AH99" i="80"/>
  <c r="AF99" i="80"/>
  <c r="AE99" i="80"/>
  <c r="AD99" i="80"/>
  <c r="AC99" i="80"/>
  <c r="AB99" i="80"/>
  <c r="AA99" i="80"/>
  <c r="Z99" i="80"/>
  <c r="Y99" i="80"/>
  <c r="X99" i="80"/>
  <c r="W99" i="80"/>
  <c r="V99" i="80"/>
  <c r="U99" i="80"/>
  <c r="T99" i="80"/>
  <c r="S99" i="80"/>
  <c r="R99" i="80"/>
  <c r="Q99" i="80"/>
  <c r="P99" i="80"/>
  <c r="O99" i="80"/>
  <c r="N99" i="80"/>
  <c r="M99" i="80"/>
  <c r="L99" i="80"/>
  <c r="K99" i="80"/>
  <c r="J99" i="80"/>
  <c r="I99" i="80"/>
  <c r="H99" i="80"/>
  <c r="G99" i="80"/>
  <c r="F99" i="80"/>
  <c r="E99" i="80"/>
  <c r="D99" i="80"/>
  <c r="C99" i="80"/>
  <c r="B99" i="80"/>
  <c r="AI98" i="80"/>
  <c r="AH98" i="80"/>
  <c r="AI97" i="80"/>
  <c r="AH97" i="80"/>
  <c r="AI96" i="80"/>
  <c r="AH96" i="80"/>
  <c r="AI95" i="80"/>
  <c r="AH95" i="80"/>
  <c r="AI94" i="80"/>
  <c r="AH94" i="80"/>
  <c r="AI93" i="80"/>
  <c r="AH93" i="80"/>
  <c r="AI92" i="80"/>
  <c r="AH92" i="80"/>
  <c r="AF92" i="80"/>
  <c r="AE92" i="80"/>
  <c r="AD92" i="80"/>
  <c r="AC92" i="80"/>
  <c r="AB92" i="80"/>
  <c r="AA92" i="80"/>
  <c r="Z92" i="80"/>
  <c r="Y92" i="80"/>
  <c r="X92" i="80"/>
  <c r="W92" i="80"/>
  <c r="V92" i="80"/>
  <c r="U92" i="80"/>
  <c r="T92" i="80"/>
  <c r="S92" i="80"/>
  <c r="R92" i="80"/>
  <c r="Q92" i="80"/>
  <c r="P92" i="80"/>
  <c r="O92" i="80"/>
  <c r="N92" i="80"/>
  <c r="M92" i="80"/>
  <c r="L92" i="80"/>
  <c r="K92" i="80"/>
  <c r="J92" i="80"/>
  <c r="I92" i="80"/>
  <c r="H92" i="80"/>
  <c r="G92" i="80"/>
  <c r="F92" i="80"/>
  <c r="E92" i="80"/>
  <c r="D92" i="80"/>
  <c r="C92" i="80"/>
  <c r="B92" i="80"/>
  <c r="AI91" i="80"/>
  <c r="AH91" i="80"/>
  <c r="AG91" i="80"/>
  <c r="AF91" i="80"/>
  <c r="AE91" i="80"/>
  <c r="AD91" i="80"/>
  <c r="AC91" i="80"/>
  <c r="AB91" i="80"/>
  <c r="AA91" i="80"/>
  <c r="Z91" i="80"/>
  <c r="Y91" i="80"/>
  <c r="X91" i="80"/>
  <c r="W91" i="80"/>
  <c r="V91" i="80"/>
  <c r="U91" i="80"/>
  <c r="T91" i="80"/>
  <c r="S91" i="80"/>
  <c r="R91" i="80"/>
  <c r="Q91" i="80"/>
  <c r="P91" i="80"/>
  <c r="O91" i="80"/>
  <c r="N91" i="80"/>
  <c r="M91" i="80"/>
  <c r="L91" i="80"/>
  <c r="K91" i="80"/>
  <c r="J91" i="80"/>
  <c r="I91" i="80"/>
  <c r="H91" i="80"/>
  <c r="G91" i="80"/>
  <c r="F91" i="80"/>
  <c r="E91" i="80"/>
  <c r="D91" i="80"/>
  <c r="C91" i="80"/>
  <c r="B91" i="80"/>
  <c r="AI90" i="80"/>
  <c r="AH90" i="80"/>
  <c r="AI89" i="80"/>
  <c r="AH89" i="80"/>
  <c r="AG89" i="80"/>
  <c r="AF89" i="80"/>
  <c r="AE89" i="80"/>
  <c r="AD89" i="80"/>
  <c r="AC89" i="80"/>
  <c r="AB89" i="80"/>
  <c r="AA89" i="80"/>
  <c r="Z89" i="80"/>
  <c r="Y89" i="80"/>
  <c r="X89" i="80"/>
  <c r="W89" i="80"/>
  <c r="V89" i="80"/>
  <c r="U89" i="80"/>
  <c r="T89" i="80"/>
  <c r="S89" i="80"/>
  <c r="R89" i="80"/>
  <c r="Q89" i="80"/>
  <c r="P89" i="80"/>
  <c r="O89" i="80"/>
  <c r="N89" i="80"/>
  <c r="M89" i="80"/>
  <c r="L89" i="80"/>
  <c r="K89" i="80"/>
  <c r="J89" i="80"/>
  <c r="I89" i="80"/>
  <c r="H89" i="80"/>
  <c r="G89" i="80"/>
  <c r="F89" i="80"/>
  <c r="E89" i="80"/>
  <c r="D89" i="80"/>
  <c r="C89" i="80"/>
  <c r="B89" i="80"/>
  <c r="AI88" i="80"/>
  <c r="AH88" i="80"/>
  <c r="AG88" i="80"/>
  <c r="AI87" i="80"/>
  <c r="AH87" i="80"/>
  <c r="AI86" i="80"/>
  <c r="AH86" i="80"/>
  <c r="AI85" i="80"/>
  <c r="AH85" i="80"/>
  <c r="AI84" i="80"/>
  <c r="AH84" i="80"/>
  <c r="AG84" i="80"/>
  <c r="AF84" i="80"/>
  <c r="AE84" i="80"/>
  <c r="AD84" i="80"/>
  <c r="AC84" i="80"/>
  <c r="AB84" i="80"/>
  <c r="AA84" i="80"/>
  <c r="Z84" i="80"/>
  <c r="Y84" i="80"/>
  <c r="X84" i="80"/>
  <c r="W84" i="80"/>
  <c r="V84" i="80"/>
  <c r="U84" i="80"/>
  <c r="T84" i="80"/>
  <c r="S84" i="80"/>
  <c r="R84" i="80"/>
  <c r="Q84" i="80"/>
  <c r="P84" i="80"/>
  <c r="O84" i="80"/>
  <c r="N84" i="80"/>
  <c r="M84" i="80"/>
  <c r="L84" i="80"/>
  <c r="K84" i="80"/>
  <c r="J84" i="80"/>
  <c r="I84" i="80"/>
  <c r="H84" i="80"/>
  <c r="G84" i="80"/>
  <c r="F84" i="80"/>
  <c r="E84" i="80"/>
  <c r="D84" i="80"/>
  <c r="C84" i="80"/>
  <c r="B84" i="80"/>
  <c r="AI83" i="80"/>
  <c r="AH83" i="80"/>
  <c r="AI82" i="80"/>
  <c r="AH82" i="80"/>
  <c r="AI81" i="80"/>
  <c r="AH81" i="80"/>
  <c r="AI80" i="80"/>
  <c r="AH80" i="80"/>
  <c r="AI79" i="80"/>
  <c r="AH79" i="80"/>
  <c r="AI78" i="80"/>
  <c r="AH78" i="80"/>
  <c r="AI77" i="80"/>
  <c r="AH77" i="80"/>
  <c r="AI76" i="80"/>
  <c r="AH76" i="80"/>
  <c r="AI75" i="80"/>
  <c r="AH75" i="80"/>
  <c r="AI74" i="80"/>
  <c r="AH74" i="80"/>
  <c r="AI73" i="80"/>
  <c r="AH73" i="80"/>
  <c r="AI72" i="80"/>
  <c r="AH72" i="80"/>
  <c r="AG72" i="80"/>
  <c r="AF72" i="80"/>
  <c r="AE72" i="80"/>
  <c r="AD72" i="80"/>
  <c r="AC72" i="80"/>
  <c r="AB72" i="80"/>
  <c r="AA72" i="80"/>
  <c r="Z72" i="80"/>
  <c r="Y72" i="80"/>
  <c r="X72" i="80"/>
  <c r="W72" i="80"/>
  <c r="V72" i="80"/>
  <c r="U72" i="80"/>
  <c r="T72" i="80"/>
  <c r="S72" i="80"/>
  <c r="R72" i="80"/>
  <c r="Q72" i="80"/>
  <c r="P72" i="80"/>
  <c r="O72" i="80"/>
  <c r="N72" i="80"/>
  <c r="M72" i="80"/>
  <c r="L72" i="80"/>
  <c r="B72" i="80"/>
  <c r="AI71" i="80"/>
  <c r="AH71" i="80"/>
  <c r="AI70" i="80"/>
  <c r="AH70" i="80"/>
  <c r="AI69" i="80"/>
  <c r="AH69" i="80"/>
  <c r="AI68" i="80"/>
  <c r="AH68" i="80"/>
  <c r="AG68" i="80"/>
  <c r="AF68" i="80"/>
  <c r="AE68" i="80"/>
  <c r="AD68" i="80"/>
  <c r="AC68" i="80"/>
  <c r="AB68" i="80"/>
  <c r="AA68" i="80"/>
  <c r="Z68" i="80"/>
  <c r="Y68" i="80"/>
  <c r="X68" i="80"/>
  <c r="W68" i="80"/>
  <c r="V68" i="80"/>
  <c r="U68" i="80"/>
  <c r="T68" i="80"/>
  <c r="S68" i="80"/>
  <c r="R68" i="80"/>
  <c r="Q68" i="80"/>
  <c r="P68" i="80"/>
  <c r="O68" i="80"/>
  <c r="N68" i="80"/>
  <c r="M68" i="80"/>
  <c r="L68" i="80"/>
  <c r="K68" i="80"/>
  <c r="J68" i="80"/>
  <c r="I68" i="80"/>
  <c r="H68" i="80"/>
  <c r="G68" i="80"/>
  <c r="F68" i="80"/>
  <c r="E68" i="80"/>
  <c r="D68" i="80"/>
  <c r="C68" i="80"/>
  <c r="B68" i="80"/>
  <c r="AI67" i="80"/>
  <c r="AH67" i="80"/>
  <c r="AG67" i="80"/>
  <c r="AI66" i="80"/>
  <c r="AH66" i="80"/>
  <c r="AI65" i="80"/>
  <c r="AH65" i="80"/>
  <c r="AI64" i="80"/>
  <c r="AH64" i="80"/>
  <c r="AI63" i="80"/>
  <c r="AH63" i="80"/>
  <c r="AI62" i="80"/>
  <c r="AH62" i="80"/>
  <c r="AI61" i="80"/>
  <c r="AH61" i="80"/>
  <c r="AI60" i="80"/>
  <c r="AH60" i="80"/>
  <c r="AI59" i="80"/>
  <c r="AH59" i="80"/>
  <c r="AI58" i="80"/>
  <c r="AH58" i="80"/>
  <c r="AI57" i="80"/>
  <c r="AH57" i="80"/>
  <c r="AI56" i="80"/>
  <c r="AH56" i="80"/>
  <c r="AI55" i="80"/>
  <c r="AH55" i="80"/>
  <c r="AI54" i="80"/>
  <c r="AH54" i="80"/>
  <c r="AG54" i="80"/>
  <c r="AF54" i="80"/>
  <c r="AE54" i="80"/>
  <c r="AD54" i="80"/>
  <c r="AC54" i="80"/>
  <c r="AB54" i="80"/>
  <c r="AA54" i="80"/>
  <c r="Z54" i="80"/>
  <c r="Y54" i="80"/>
  <c r="X54" i="80"/>
  <c r="W54" i="80"/>
  <c r="V54" i="80"/>
  <c r="U54" i="80"/>
  <c r="T54" i="80"/>
  <c r="S54" i="80"/>
  <c r="R54" i="80"/>
  <c r="Q54" i="80"/>
  <c r="P54" i="80"/>
  <c r="O54" i="80"/>
  <c r="N54" i="80"/>
  <c r="M54" i="80"/>
  <c r="L54" i="80"/>
  <c r="K54" i="80"/>
  <c r="J54" i="80"/>
  <c r="I54" i="80"/>
  <c r="H54" i="80"/>
  <c r="G54" i="80"/>
  <c r="F54" i="80"/>
  <c r="E54" i="80"/>
  <c r="D54" i="80"/>
  <c r="C54" i="80"/>
  <c r="B54" i="80"/>
  <c r="AI53" i="80"/>
  <c r="AH53" i="80"/>
  <c r="AI52" i="80"/>
  <c r="AH52" i="80"/>
  <c r="AI51" i="80"/>
  <c r="AH51" i="80"/>
  <c r="AI50" i="80"/>
  <c r="AH50" i="80"/>
  <c r="AG50" i="80"/>
  <c r="AF50" i="80"/>
  <c r="AE50" i="80"/>
  <c r="AD50" i="80"/>
  <c r="AC50" i="80"/>
  <c r="AB50" i="80"/>
  <c r="AA50" i="80"/>
  <c r="Z50" i="80"/>
  <c r="Y50" i="80"/>
  <c r="X50" i="80"/>
  <c r="W50" i="80"/>
  <c r="V50" i="80"/>
  <c r="U50" i="80"/>
  <c r="T50" i="80"/>
  <c r="S50" i="80"/>
  <c r="R50" i="80"/>
  <c r="Q50" i="80"/>
  <c r="P50" i="80"/>
  <c r="O50" i="80"/>
  <c r="N50" i="80"/>
  <c r="M50" i="80"/>
  <c r="L50" i="80"/>
  <c r="K50" i="80"/>
  <c r="J50" i="80"/>
  <c r="I50" i="80"/>
  <c r="H50" i="80"/>
  <c r="G50" i="80"/>
  <c r="F50" i="80"/>
  <c r="E50" i="80"/>
  <c r="D50" i="80"/>
  <c r="C50" i="80"/>
  <c r="B50" i="80"/>
  <c r="AI49" i="80"/>
  <c r="AH49" i="80"/>
  <c r="R49" i="80"/>
  <c r="Q49" i="80"/>
  <c r="P49" i="80"/>
  <c r="O49" i="80"/>
  <c r="N49" i="80"/>
  <c r="M49" i="80"/>
  <c r="AI48" i="80"/>
  <c r="AH48" i="80"/>
  <c r="AI47" i="80"/>
  <c r="AH47" i="80"/>
  <c r="AI46" i="80"/>
  <c r="AH46" i="80"/>
  <c r="AI45" i="80"/>
  <c r="AH45" i="80"/>
  <c r="AI44" i="80"/>
  <c r="AH44" i="80"/>
  <c r="AI43" i="80"/>
  <c r="AH43" i="80"/>
  <c r="AI42" i="80"/>
  <c r="AH42" i="80"/>
  <c r="AI41" i="80"/>
  <c r="AH41" i="80"/>
  <c r="AI40" i="80"/>
  <c r="AH40" i="80"/>
  <c r="AI39" i="80"/>
  <c r="AH39" i="80"/>
  <c r="AI38" i="80"/>
  <c r="AH38" i="80"/>
  <c r="AI37" i="80"/>
  <c r="AH37" i="80"/>
  <c r="AI36" i="80"/>
  <c r="AH36" i="80"/>
  <c r="AI35" i="80"/>
  <c r="AH35" i="80"/>
  <c r="AI34" i="80"/>
  <c r="AH34" i="80"/>
  <c r="AI33" i="80"/>
  <c r="AH33" i="80"/>
  <c r="AI32" i="80"/>
  <c r="AH32" i="80"/>
  <c r="AI31" i="80"/>
  <c r="AH31" i="80"/>
  <c r="AI30" i="80"/>
  <c r="AH30" i="80"/>
  <c r="AI29" i="80"/>
  <c r="AH29" i="80"/>
  <c r="AI28" i="80"/>
  <c r="AH28" i="80"/>
  <c r="AI27" i="80"/>
  <c r="AH27" i="80"/>
  <c r="AI26" i="80"/>
  <c r="AH26" i="80"/>
  <c r="AI25" i="80"/>
  <c r="AH25" i="80"/>
  <c r="AI24" i="80"/>
  <c r="AH24" i="80"/>
  <c r="AI23" i="80"/>
  <c r="AH23" i="80"/>
  <c r="AI22" i="80"/>
  <c r="AH22" i="80"/>
  <c r="AI21" i="80"/>
  <c r="AH21" i="80"/>
  <c r="AI20" i="80"/>
  <c r="AH20" i="80"/>
  <c r="AI19" i="80"/>
  <c r="AH19" i="80"/>
  <c r="AI18" i="80"/>
  <c r="AH18" i="80"/>
  <c r="AI17" i="80"/>
  <c r="AH17" i="80"/>
  <c r="AI16" i="80"/>
  <c r="AH16" i="80"/>
  <c r="AI15" i="80"/>
  <c r="AH15" i="80"/>
  <c r="AI14" i="80"/>
  <c r="AH14" i="80"/>
  <c r="AI13" i="80"/>
  <c r="AH13" i="80"/>
  <c r="AI12" i="80"/>
  <c r="AH12" i="80"/>
  <c r="AI11" i="80"/>
  <c r="AH11" i="80"/>
  <c r="AF7" i="80"/>
  <c r="AE7" i="80"/>
  <c r="AD7" i="80"/>
  <c r="AC7" i="80"/>
  <c r="AB7" i="80"/>
  <c r="AA7" i="80"/>
  <c r="Z7" i="80"/>
  <c r="Y7" i="80"/>
  <c r="X7" i="80"/>
  <c r="W7" i="80"/>
  <c r="V7" i="80"/>
  <c r="U7" i="80"/>
  <c r="T7" i="80"/>
  <c r="S7" i="80"/>
  <c r="R7" i="80"/>
  <c r="Q7" i="80"/>
  <c r="P7" i="80"/>
  <c r="O7" i="80"/>
  <c r="N7" i="80"/>
  <c r="M7" i="80"/>
  <c r="L7" i="80"/>
  <c r="K7" i="80"/>
  <c r="J7" i="80"/>
  <c r="I7" i="80"/>
  <c r="H7" i="80"/>
  <c r="G7" i="80"/>
  <c r="F7" i="80"/>
  <c r="E7" i="80"/>
  <c r="D7" i="80"/>
  <c r="C7" i="80"/>
  <c r="B7" i="80"/>
  <c r="A7" i="80"/>
  <c r="AG6" i="80"/>
  <c r="K6" i="80"/>
  <c r="AF5" i="80"/>
  <c r="AE5" i="80"/>
  <c r="AD5" i="80"/>
  <c r="AC5" i="80"/>
  <c r="AB5" i="80"/>
  <c r="AA5" i="80"/>
  <c r="Z5" i="80"/>
  <c r="Y5" i="80"/>
  <c r="X5" i="80"/>
  <c r="W5" i="80"/>
  <c r="V5" i="80"/>
  <c r="U5" i="80"/>
  <c r="T5" i="80"/>
  <c r="S5" i="80"/>
  <c r="R5" i="80"/>
  <c r="Q5" i="80"/>
  <c r="P5" i="80"/>
  <c r="O5" i="80"/>
  <c r="N5" i="80"/>
  <c r="M5" i="80"/>
  <c r="L5" i="80"/>
  <c r="K5" i="80"/>
  <c r="J5" i="80"/>
  <c r="I5" i="80"/>
  <c r="H5" i="80"/>
  <c r="G5" i="80"/>
  <c r="F5" i="80"/>
  <c r="E5" i="80"/>
  <c r="D5" i="80"/>
  <c r="C5" i="80"/>
  <c r="B5" i="80"/>
  <c r="AG4" i="80"/>
  <c r="K4" i="80"/>
  <c r="E4" i="80"/>
  <c r="H4" i="80" s="1"/>
  <c r="B4" i="80"/>
  <c r="S246" i="80" s="1"/>
  <c r="AG3" i="80"/>
  <c r="AG2" i="80"/>
  <c r="AF274" i="79"/>
  <c r="AE274" i="79"/>
  <c r="AD274" i="79"/>
  <c r="AC274" i="79"/>
  <c r="AB274" i="79"/>
  <c r="AA274" i="79"/>
  <c r="Z274" i="79"/>
  <c r="Y274" i="79"/>
  <c r="X274" i="79"/>
  <c r="W274" i="79"/>
  <c r="V274" i="79"/>
  <c r="U274" i="79"/>
  <c r="T274" i="79"/>
  <c r="S274" i="79"/>
  <c r="R274" i="79"/>
  <c r="Q274" i="79"/>
  <c r="P274" i="79"/>
  <c r="O274" i="79"/>
  <c r="N274" i="79"/>
  <c r="M274" i="79"/>
  <c r="L274" i="79"/>
  <c r="K274" i="79"/>
  <c r="J274" i="79"/>
  <c r="I274" i="79"/>
  <c r="H274" i="79"/>
  <c r="G274" i="79"/>
  <c r="F274" i="79"/>
  <c r="E274" i="79"/>
  <c r="D274" i="79"/>
  <c r="C274" i="79"/>
  <c r="B274" i="79"/>
  <c r="A274" i="79"/>
  <c r="AF273" i="79"/>
  <c r="AE273" i="79"/>
  <c r="AD273" i="79"/>
  <c r="AC273" i="79"/>
  <c r="AB273" i="79"/>
  <c r="AA273" i="79"/>
  <c r="Z273" i="79"/>
  <c r="Y273" i="79"/>
  <c r="X273" i="79"/>
  <c r="W273" i="79"/>
  <c r="V273" i="79"/>
  <c r="U273" i="79"/>
  <c r="T273" i="79"/>
  <c r="S273" i="79"/>
  <c r="R273" i="79"/>
  <c r="Q273" i="79"/>
  <c r="P273" i="79"/>
  <c r="O273" i="79"/>
  <c r="N273" i="79"/>
  <c r="M273" i="79"/>
  <c r="L273" i="79"/>
  <c r="K273" i="79"/>
  <c r="J273" i="79"/>
  <c r="I273" i="79"/>
  <c r="H273" i="79"/>
  <c r="G273" i="79"/>
  <c r="F273" i="79"/>
  <c r="E273" i="79"/>
  <c r="D273" i="79"/>
  <c r="C273" i="79"/>
  <c r="B273" i="79"/>
  <c r="A273" i="79"/>
  <c r="AF272" i="79"/>
  <c r="AE272" i="79"/>
  <c r="AD272" i="79"/>
  <c r="AC272" i="79"/>
  <c r="AB272" i="79"/>
  <c r="AA272" i="79"/>
  <c r="Z272" i="79"/>
  <c r="Y272" i="79"/>
  <c r="X272" i="79"/>
  <c r="W272" i="79"/>
  <c r="V272" i="79"/>
  <c r="U272" i="79"/>
  <c r="T272" i="79"/>
  <c r="S272" i="79"/>
  <c r="R272" i="79"/>
  <c r="Q272" i="79"/>
  <c r="P272" i="79"/>
  <c r="O272" i="79"/>
  <c r="N272" i="79"/>
  <c r="M272" i="79"/>
  <c r="L272" i="79"/>
  <c r="K272" i="79"/>
  <c r="J272" i="79"/>
  <c r="I272" i="79"/>
  <c r="H272" i="79"/>
  <c r="G272" i="79"/>
  <c r="F272" i="79"/>
  <c r="E272" i="79"/>
  <c r="D272" i="79"/>
  <c r="C272" i="79"/>
  <c r="B272" i="79"/>
  <c r="A272" i="79"/>
  <c r="AF271" i="79"/>
  <c r="AE271" i="79"/>
  <c r="AD271" i="79"/>
  <c r="AC271" i="79"/>
  <c r="AB271" i="79"/>
  <c r="AA271" i="79"/>
  <c r="Z271" i="79"/>
  <c r="Y271" i="79"/>
  <c r="X271" i="79"/>
  <c r="W271" i="79"/>
  <c r="V271" i="79"/>
  <c r="U271" i="79"/>
  <c r="T271" i="79"/>
  <c r="S271" i="79"/>
  <c r="R271" i="79"/>
  <c r="Q271" i="79"/>
  <c r="P271" i="79"/>
  <c r="O271" i="79"/>
  <c r="N271" i="79"/>
  <c r="M271" i="79"/>
  <c r="L271" i="79"/>
  <c r="K271" i="79"/>
  <c r="J271" i="79"/>
  <c r="I271" i="79"/>
  <c r="H271" i="79"/>
  <c r="G271" i="79"/>
  <c r="F271" i="79"/>
  <c r="E271" i="79"/>
  <c r="D271" i="79"/>
  <c r="C271" i="79"/>
  <c r="B271" i="79"/>
  <c r="A271" i="79"/>
  <c r="AF270" i="79"/>
  <c r="AE270" i="79"/>
  <c r="AD270" i="79"/>
  <c r="AC270" i="79"/>
  <c r="AB270" i="79"/>
  <c r="AA270" i="79"/>
  <c r="Z270" i="79"/>
  <c r="Y270" i="79"/>
  <c r="X270" i="79"/>
  <c r="W270" i="79"/>
  <c r="V270" i="79"/>
  <c r="U270" i="79"/>
  <c r="T270" i="79"/>
  <c r="S270" i="79"/>
  <c r="R270" i="79"/>
  <c r="Q270" i="79"/>
  <c r="P270" i="79"/>
  <c r="O270" i="79"/>
  <c r="N270" i="79"/>
  <c r="M270" i="79"/>
  <c r="L270" i="79"/>
  <c r="K270" i="79"/>
  <c r="J270" i="79"/>
  <c r="I270" i="79"/>
  <c r="H270" i="79"/>
  <c r="G270" i="79"/>
  <c r="F270" i="79"/>
  <c r="E270" i="79"/>
  <c r="D270" i="79"/>
  <c r="C270" i="79"/>
  <c r="B270" i="79"/>
  <c r="AX249" i="79"/>
  <c r="AW249" i="79"/>
  <c r="AV249" i="79"/>
  <c r="AU249" i="79"/>
  <c r="AT249" i="79"/>
  <c r="AS249" i="79"/>
  <c r="AR249" i="79"/>
  <c r="AQ249" i="79"/>
  <c r="AP249" i="79"/>
  <c r="AO249" i="79"/>
  <c r="AN249" i="79"/>
  <c r="AM249" i="79"/>
  <c r="AL249" i="79"/>
  <c r="AK249" i="79"/>
  <c r="AJ249" i="79"/>
  <c r="AI249" i="79"/>
  <c r="AH249" i="79"/>
  <c r="AG249" i="79"/>
  <c r="AF249" i="79"/>
  <c r="AE249" i="79"/>
  <c r="AD249" i="79"/>
  <c r="AC249" i="79"/>
  <c r="AB249" i="79"/>
  <c r="AA249" i="79"/>
  <c r="Z249" i="79"/>
  <c r="Y249" i="79"/>
  <c r="X249" i="79"/>
  <c r="W249" i="79"/>
  <c r="V249" i="79"/>
  <c r="U249" i="79"/>
  <c r="T249" i="79"/>
  <c r="S245" i="79"/>
  <c r="C244" i="79"/>
  <c r="B244" i="79"/>
  <c r="AG235" i="79"/>
  <c r="AF235" i="79"/>
  <c r="AE235" i="79"/>
  <c r="AD235" i="79"/>
  <c r="AC235" i="79"/>
  <c r="AB235" i="79"/>
  <c r="AA235" i="79"/>
  <c r="Z235" i="79"/>
  <c r="Y235" i="79"/>
  <c r="X235" i="79"/>
  <c r="W235" i="79"/>
  <c r="V235" i="79"/>
  <c r="U235" i="79"/>
  <c r="T235" i="79"/>
  <c r="S235" i="79"/>
  <c r="R235" i="79"/>
  <c r="Q235" i="79"/>
  <c r="H235" i="79"/>
  <c r="G235" i="79"/>
  <c r="F235" i="79"/>
  <c r="E235" i="79"/>
  <c r="D235" i="79"/>
  <c r="C235" i="79"/>
  <c r="B235" i="79"/>
  <c r="P234" i="79"/>
  <c r="O234" i="79"/>
  <c r="N234" i="79"/>
  <c r="M234" i="79"/>
  <c r="L234" i="79"/>
  <c r="K234" i="79"/>
  <c r="J234" i="79"/>
  <c r="I234" i="79"/>
  <c r="H234" i="79"/>
  <c r="G234" i="79"/>
  <c r="F234" i="79"/>
  <c r="E234" i="79"/>
  <c r="D234" i="79"/>
  <c r="B234" i="79"/>
  <c r="P233" i="79"/>
  <c r="O233" i="79"/>
  <c r="N233" i="79"/>
  <c r="M233" i="79"/>
  <c r="L233" i="79"/>
  <c r="K233" i="79"/>
  <c r="J233" i="79"/>
  <c r="I233" i="79"/>
  <c r="H233" i="79"/>
  <c r="G233" i="79"/>
  <c r="F233" i="79"/>
  <c r="E233" i="79"/>
  <c r="D233" i="79"/>
  <c r="B233" i="79"/>
  <c r="P232" i="79"/>
  <c r="O232" i="79"/>
  <c r="N232" i="79"/>
  <c r="M232" i="79"/>
  <c r="L232" i="79"/>
  <c r="K232" i="79"/>
  <c r="J232" i="79"/>
  <c r="I232" i="79"/>
  <c r="H232" i="79"/>
  <c r="G232" i="79"/>
  <c r="F232" i="79"/>
  <c r="E232" i="79"/>
  <c r="D232" i="79"/>
  <c r="B232" i="79"/>
  <c r="H231" i="79"/>
  <c r="G231" i="79"/>
  <c r="F231" i="79"/>
  <c r="E231" i="79"/>
  <c r="D231" i="79"/>
  <c r="B231" i="79"/>
  <c r="P230" i="79"/>
  <c r="O230" i="79"/>
  <c r="N230" i="79"/>
  <c r="M230" i="79"/>
  <c r="L230" i="79"/>
  <c r="K230" i="79"/>
  <c r="J230" i="79"/>
  <c r="I230" i="79"/>
  <c r="H230" i="79"/>
  <c r="G230" i="79"/>
  <c r="F230" i="79"/>
  <c r="E230" i="79"/>
  <c r="D230" i="79"/>
  <c r="B230" i="79"/>
  <c r="P229" i="79"/>
  <c r="O229" i="79"/>
  <c r="N229" i="79"/>
  <c r="M229" i="79"/>
  <c r="L229" i="79"/>
  <c r="K229" i="79"/>
  <c r="J229" i="79"/>
  <c r="I229" i="79"/>
  <c r="H229" i="79"/>
  <c r="G229" i="79"/>
  <c r="F229" i="79"/>
  <c r="E229" i="79"/>
  <c r="D229" i="79"/>
  <c r="B229" i="79"/>
  <c r="AG227" i="79"/>
  <c r="AF227" i="79"/>
  <c r="AE227" i="79"/>
  <c r="AD227" i="79"/>
  <c r="AC227" i="79"/>
  <c r="AB227" i="79"/>
  <c r="AA227" i="79"/>
  <c r="Z227" i="79"/>
  <c r="Y227" i="79"/>
  <c r="X227" i="79"/>
  <c r="W227" i="79"/>
  <c r="V227" i="79"/>
  <c r="U227" i="79"/>
  <c r="T227" i="79"/>
  <c r="S227" i="79"/>
  <c r="R227" i="79"/>
  <c r="Q227" i="79"/>
  <c r="P227" i="79"/>
  <c r="O227" i="79"/>
  <c r="N227" i="79"/>
  <c r="M227" i="79"/>
  <c r="L227" i="79"/>
  <c r="K227" i="79"/>
  <c r="J227" i="79"/>
  <c r="I227" i="79"/>
  <c r="H227" i="79"/>
  <c r="G227" i="79"/>
  <c r="F227" i="79"/>
  <c r="E227" i="79"/>
  <c r="D227" i="79"/>
  <c r="C227" i="79"/>
  <c r="B227" i="79"/>
  <c r="AI120" i="79"/>
  <c r="AH120" i="79"/>
  <c r="AI119" i="79"/>
  <c r="AH119" i="79"/>
  <c r="AI118" i="79"/>
  <c r="AH118" i="79"/>
  <c r="AI117" i="79"/>
  <c r="AH117" i="79"/>
  <c r="AI116" i="79"/>
  <c r="AH116" i="79"/>
  <c r="AI115" i="79"/>
  <c r="AH115" i="79"/>
  <c r="AI114" i="79"/>
  <c r="AH114" i="79"/>
  <c r="AI113" i="79"/>
  <c r="AH113" i="79"/>
  <c r="R113" i="79"/>
  <c r="Q113" i="79"/>
  <c r="K113" i="79"/>
  <c r="J113" i="79"/>
  <c r="I113" i="79"/>
  <c r="H113" i="79"/>
  <c r="G113" i="79"/>
  <c r="F113" i="79"/>
  <c r="E113" i="79"/>
  <c r="AI112" i="79"/>
  <c r="AH112" i="79"/>
  <c r="AI111" i="79"/>
  <c r="AH111" i="79"/>
  <c r="AI110" i="79"/>
  <c r="AH110" i="79"/>
  <c r="AF110" i="79"/>
  <c r="AE110" i="79"/>
  <c r="AC110" i="79"/>
  <c r="AB110" i="79"/>
  <c r="AA110" i="79"/>
  <c r="Z110" i="79"/>
  <c r="Y110" i="79"/>
  <c r="X110" i="79"/>
  <c r="W110" i="79"/>
  <c r="V110" i="79"/>
  <c r="U110" i="79"/>
  <c r="T110" i="79"/>
  <c r="S110" i="79"/>
  <c r="R110" i="79"/>
  <c r="Q110" i="79"/>
  <c r="O110" i="79"/>
  <c r="N110" i="79"/>
  <c r="M110" i="79"/>
  <c r="L110" i="79"/>
  <c r="K110" i="79"/>
  <c r="J110" i="79"/>
  <c r="I110" i="79"/>
  <c r="H110" i="79"/>
  <c r="G110" i="79"/>
  <c r="F110" i="79"/>
  <c r="E110" i="79"/>
  <c r="D110" i="79"/>
  <c r="C110" i="79"/>
  <c r="B110" i="79"/>
  <c r="AI109" i="79"/>
  <c r="AH109" i="79"/>
  <c r="AI108" i="79"/>
  <c r="AH108" i="79"/>
  <c r="AI107" i="79"/>
  <c r="AH107" i="79"/>
  <c r="AI106" i="79"/>
  <c r="AH106" i="79"/>
  <c r="AI105" i="79"/>
  <c r="AH105" i="79"/>
  <c r="AI104" i="79"/>
  <c r="AH104" i="79"/>
  <c r="AI103" i="79"/>
  <c r="AH103" i="79"/>
  <c r="AI102" i="79"/>
  <c r="AH102" i="79"/>
  <c r="AI101" i="79"/>
  <c r="AH101" i="79"/>
  <c r="AI100" i="79"/>
  <c r="AH100" i="79"/>
  <c r="AF100" i="79"/>
  <c r="AE100" i="79"/>
  <c r="AD100" i="79"/>
  <c r="AC100" i="79"/>
  <c r="AB100" i="79"/>
  <c r="AA100" i="79"/>
  <c r="Z100" i="79"/>
  <c r="Y100" i="79"/>
  <c r="X100" i="79"/>
  <c r="W100" i="79"/>
  <c r="V100" i="79"/>
  <c r="U100" i="79"/>
  <c r="T100" i="79"/>
  <c r="S100" i="79"/>
  <c r="R100" i="79"/>
  <c r="Q100" i="79"/>
  <c r="P100" i="79"/>
  <c r="O100" i="79"/>
  <c r="N100" i="79"/>
  <c r="M100" i="79"/>
  <c r="L100" i="79"/>
  <c r="K100" i="79"/>
  <c r="J100" i="79"/>
  <c r="I100" i="79"/>
  <c r="H100" i="79"/>
  <c r="G100" i="79"/>
  <c r="F100" i="79"/>
  <c r="E100" i="79"/>
  <c r="D100" i="79"/>
  <c r="C100" i="79"/>
  <c r="B100" i="79"/>
  <c r="AI99" i="79"/>
  <c r="AH99" i="79"/>
  <c r="AF99" i="79"/>
  <c r="AE99" i="79"/>
  <c r="AD99" i="79"/>
  <c r="AC99" i="79"/>
  <c r="AB99" i="79"/>
  <c r="AA99" i="79"/>
  <c r="Z99" i="79"/>
  <c r="Y99" i="79"/>
  <c r="X99" i="79"/>
  <c r="W99" i="79"/>
  <c r="V99" i="79"/>
  <c r="U99" i="79"/>
  <c r="T99" i="79"/>
  <c r="S99" i="79"/>
  <c r="R99" i="79"/>
  <c r="Q99" i="79"/>
  <c r="P99" i="79"/>
  <c r="O99" i="79"/>
  <c r="N99" i="79"/>
  <c r="M99" i="79"/>
  <c r="L99" i="79"/>
  <c r="K99" i="79"/>
  <c r="J99" i="79"/>
  <c r="I99" i="79"/>
  <c r="H99" i="79"/>
  <c r="G99" i="79"/>
  <c r="F99" i="79"/>
  <c r="E99" i="79"/>
  <c r="D99" i="79"/>
  <c r="C99" i="79"/>
  <c r="B99" i="79"/>
  <c r="AI98" i="79"/>
  <c r="AH98" i="79"/>
  <c r="AI97" i="79"/>
  <c r="AH97" i="79"/>
  <c r="AI96" i="79"/>
  <c r="AH96" i="79"/>
  <c r="AI95" i="79"/>
  <c r="AH95" i="79"/>
  <c r="AI94" i="79"/>
  <c r="AH94" i="79"/>
  <c r="AI93" i="79"/>
  <c r="AH93" i="79"/>
  <c r="AI92" i="79"/>
  <c r="AH92" i="79"/>
  <c r="AF92" i="79"/>
  <c r="AE92" i="79"/>
  <c r="AD92" i="79"/>
  <c r="AC92" i="79"/>
  <c r="AB92" i="79"/>
  <c r="AA92" i="79"/>
  <c r="Z92" i="79"/>
  <c r="Y92" i="79"/>
  <c r="X92" i="79"/>
  <c r="W92" i="79"/>
  <c r="V92" i="79"/>
  <c r="U92" i="79"/>
  <c r="T92" i="79"/>
  <c r="S92" i="79"/>
  <c r="R92" i="79"/>
  <c r="Q92" i="79"/>
  <c r="P92" i="79"/>
  <c r="O92" i="79"/>
  <c r="N92" i="79"/>
  <c r="M92" i="79"/>
  <c r="L92" i="79"/>
  <c r="K92" i="79"/>
  <c r="J92" i="79"/>
  <c r="I92" i="79"/>
  <c r="H92" i="79"/>
  <c r="G92" i="79"/>
  <c r="F92" i="79"/>
  <c r="E92" i="79"/>
  <c r="D92" i="79"/>
  <c r="C92" i="79"/>
  <c r="B92" i="79"/>
  <c r="AI91" i="79"/>
  <c r="AH91" i="79"/>
  <c r="AG91" i="79"/>
  <c r="AF91" i="79"/>
  <c r="AE91" i="79"/>
  <c r="AD91" i="79"/>
  <c r="AC91" i="79"/>
  <c r="AB91" i="79"/>
  <c r="AA91" i="79"/>
  <c r="Z91" i="79"/>
  <c r="Y91" i="79"/>
  <c r="X91" i="79"/>
  <c r="W91" i="79"/>
  <c r="V91" i="79"/>
  <c r="U91" i="79"/>
  <c r="T91" i="79"/>
  <c r="S91" i="79"/>
  <c r="R91" i="79"/>
  <c r="Q91" i="79"/>
  <c r="P91" i="79"/>
  <c r="O91" i="79"/>
  <c r="N91" i="79"/>
  <c r="M91" i="79"/>
  <c r="L91" i="79"/>
  <c r="K91" i="79"/>
  <c r="J91" i="79"/>
  <c r="I91" i="79"/>
  <c r="H91" i="79"/>
  <c r="G91" i="79"/>
  <c r="F91" i="79"/>
  <c r="E91" i="79"/>
  <c r="D91" i="79"/>
  <c r="C91" i="79"/>
  <c r="B91" i="79"/>
  <c r="AI90" i="79"/>
  <c r="AH90" i="79"/>
  <c r="AI89" i="79"/>
  <c r="AH89" i="79"/>
  <c r="AG89" i="79"/>
  <c r="AF89" i="79"/>
  <c r="AE89" i="79"/>
  <c r="AD89" i="79"/>
  <c r="AC89" i="79"/>
  <c r="AB89" i="79"/>
  <c r="AA89" i="79"/>
  <c r="Z89" i="79"/>
  <c r="Y89" i="79"/>
  <c r="X89" i="79"/>
  <c r="W89" i="79"/>
  <c r="V89" i="79"/>
  <c r="U89" i="79"/>
  <c r="T89" i="79"/>
  <c r="S89" i="79"/>
  <c r="R89" i="79"/>
  <c r="Q89" i="79"/>
  <c r="P89" i="79"/>
  <c r="O89" i="79"/>
  <c r="N89" i="79"/>
  <c r="M89" i="79"/>
  <c r="L89" i="79"/>
  <c r="K89" i="79"/>
  <c r="J89" i="79"/>
  <c r="I89" i="79"/>
  <c r="H89" i="79"/>
  <c r="G89" i="79"/>
  <c r="F89" i="79"/>
  <c r="E89" i="79"/>
  <c r="D89" i="79"/>
  <c r="C89" i="79"/>
  <c r="B89" i="79"/>
  <c r="AI88" i="79"/>
  <c r="AH88" i="79"/>
  <c r="AG88" i="79"/>
  <c r="AI87" i="79"/>
  <c r="AH87" i="79"/>
  <c r="AI86" i="79"/>
  <c r="AH86" i="79"/>
  <c r="AI85" i="79"/>
  <c r="AH85" i="79"/>
  <c r="AI84" i="79"/>
  <c r="AH84" i="79"/>
  <c r="AG84" i="79"/>
  <c r="AF84" i="79"/>
  <c r="AE84" i="79"/>
  <c r="AD84" i="79"/>
  <c r="AC84" i="79"/>
  <c r="AB84" i="79"/>
  <c r="AA84" i="79"/>
  <c r="Z84" i="79"/>
  <c r="Y84" i="79"/>
  <c r="X84" i="79"/>
  <c r="W84" i="79"/>
  <c r="V84" i="79"/>
  <c r="U84" i="79"/>
  <c r="T84" i="79"/>
  <c r="S84" i="79"/>
  <c r="R84" i="79"/>
  <c r="Q84" i="79"/>
  <c r="P84" i="79"/>
  <c r="O84" i="79"/>
  <c r="N84" i="79"/>
  <c r="M84" i="79"/>
  <c r="L84" i="79"/>
  <c r="K84" i="79"/>
  <c r="J84" i="79"/>
  <c r="I84" i="79"/>
  <c r="H84" i="79"/>
  <c r="G84" i="79"/>
  <c r="F84" i="79"/>
  <c r="E84" i="79"/>
  <c r="D84" i="79"/>
  <c r="C84" i="79"/>
  <c r="B84" i="79"/>
  <c r="AI83" i="79"/>
  <c r="AH83" i="79"/>
  <c r="AI82" i="79"/>
  <c r="AH82" i="79"/>
  <c r="AI81" i="79"/>
  <c r="AH81" i="79"/>
  <c r="AI80" i="79"/>
  <c r="AH80" i="79"/>
  <c r="AI79" i="79"/>
  <c r="AH79" i="79"/>
  <c r="AI78" i="79"/>
  <c r="AH78" i="79"/>
  <c r="AI77" i="79"/>
  <c r="AH77" i="79"/>
  <c r="AI76" i="79"/>
  <c r="AH76" i="79"/>
  <c r="AI75" i="79"/>
  <c r="AH75" i="79"/>
  <c r="AI74" i="79"/>
  <c r="AH74" i="79"/>
  <c r="AI73" i="79"/>
  <c r="AH73" i="79"/>
  <c r="AI72" i="79"/>
  <c r="AH72" i="79"/>
  <c r="AG72" i="79"/>
  <c r="AF72" i="79"/>
  <c r="AE72" i="79"/>
  <c r="AD72" i="79"/>
  <c r="AC72" i="79"/>
  <c r="AB72" i="79"/>
  <c r="AA72" i="79"/>
  <c r="Z72" i="79"/>
  <c r="Y72" i="79"/>
  <c r="X72" i="79"/>
  <c r="W72" i="79"/>
  <c r="V72" i="79"/>
  <c r="U72" i="79"/>
  <c r="T72" i="79"/>
  <c r="S72" i="79"/>
  <c r="R72" i="79"/>
  <c r="Q72" i="79"/>
  <c r="P72" i="79"/>
  <c r="O72" i="79"/>
  <c r="N72" i="79"/>
  <c r="M72" i="79"/>
  <c r="L72" i="79"/>
  <c r="B72" i="79"/>
  <c r="AI71" i="79"/>
  <c r="AH71" i="79"/>
  <c r="AI70" i="79"/>
  <c r="AH70" i="79"/>
  <c r="AI69" i="79"/>
  <c r="AH69" i="79"/>
  <c r="AI68" i="79"/>
  <c r="AH68" i="79"/>
  <c r="AG68" i="79"/>
  <c r="AF68" i="79"/>
  <c r="AE68" i="79"/>
  <c r="AD68" i="79"/>
  <c r="AC68" i="79"/>
  <c r="AB68" i="79"/>
  <c r="AA68" i="79"/>
  <c r="Z68" i="79"/>
  <c r="Y68" i="79"/>
  <c r="X68" i="79"/>
  <c r="W68" i="79"/>
  <c r="V68" i="79"/>
  <c r="U68" i="79"/>
  <c r="T68" i="79"/>
  <c r="S68" i="79"/>
  <c r="R68" i="79"/>
  <c r="Q68" i="79"/>
  <c r="P68" i="79"/>
  <c r="O68" i="79"/>
  <c r="N68" i="79"/>
  <c r="M68" i="79"/>
  <c r="L68" i="79"/>
  <c r="K68" i="79"/>
  <c r="J68" i="79"/>
  <c r="I68" i="79"/>
  <c r="H68" i="79"/>
  <c r="G68" i="79"/>
  <c r="F68" i="79"/>
  <c r="E68" i="79"/>
  <c r="D68" i="79"/>
  <c r="C68" i="79"/>
  <c r="B68" i="79"/>
  <c r="AI67" i="79"/>
  <c r="AH67" i="79"/>
  <c r="AG67" i="79"/>
  <c r="AI66" i="79"/>
  <c r="AH66" i="79"/>
  <c r="AI65" i="79"/>
  <c r="AH65" i="79"/>
  <c r="AI64" i="79"/>
  <c r="AH64" i="79"/>
  <c r="AI63" i="79"/>
  <c r="AH63" i="79"/>
  <c r="AI62" i="79"/>
  <c r="AH62" i="79"/>
  <c r="AI61" i="79"/>
  <c r="AH61" i="79"/>
  <c r="AI60" i="79"/>
  <c r="AH60" i="79"/>
  <c r="AI59" i="79"/>
  <c r="AH59" i="79"/>
  <c r="AI58" i="79"/>
  <c r="AH58" i="79"/>
  <c r="AI57" i="79"/>
  <c r="AH57" i="79"/>
  <c r="AI56" i="79"/>
  <c r="AH56" i="79"/>
  <c r="AI55" i="79"/>
  <c r="AH55" i="79"/>
  <c r="AI54" i="79"/>
  <c r="AH54" i="79"/>
  <c r="AG54" i="79"/>
  <c r="AF54" i="79"/>
  <c r="AE54" i="79"/>
  <c r="AD54" i="79"/>
  <c r="AC54" i="79"/>
  <c r="AB54" i="79"/>
  <c r="AA54" i="79"/>
  <c r="Z54" i="79"/>
  <c r="Y54" i="79"/>
  <c r="X54" i="79"/>
  <c r="W54" i="79"/>
  <c r="V54" i="79"/>
  <c r="U54" i="79"/>
  <c r="T54" i="79"/>
  <c r="S54" i="79"/>
  <c r="R54" i="79"/>
  <c r="Q54" i="79"/>
  <c r="P54" i="79"/>
  <c r="O54" i="79"/>
  <c r="N54" i="79"/>
  <c r="M54" i="79"/>
  <c r="L54" i="79"/>
  <c r="K54" i="79"/>
  <c r="J54" i="79"/>
  <c r="I54" i="79"/>
  <c r="H54" i="79"/>
  <c r="G54" i="79"/>
  <c r="F54" i="79"/>
  <c r="E54" i="79"/>
  <c r="D54" i="79"/>
  <c r="C54" i="79"/>
  <c r="B54" i="79"/>
  <c r="AI53" i="79"/>
  <c r="AH53" i="79"/>
  <c r="AI52" i="79"/>
  <c r="AH52" i="79"/>
  <c r="AI51" i="79"/>
  <c r="AH51" i="79"/>
  <c r="AI50" i="79"/>
  <c r="AH50" i="79"/>
  <c r="AG50" i="79"/>
  <c r="AF50" i="79"/>
  <c r="AE50" i="79"/>
  <c r="AD50" i="79"/>
  <c r="AC50" i="79"/>
  <c r="AB50" i="79"/>
  <c r="AA50" i="79"/>
  <c r="Z50" i="79"/>
  <c r="Y50" i="79"/>
  <c r="X50" i="79"/>
  <c r="W50" i="79"/>
  <c r="V50" i="79"/>
  <c r="U50" i="79"/>
  <c r="T50" i="79"/>
  <c r="S50" i="79"/>
  <c r="R50" i="79"/>
  <c r="Q50" i="79"/>
  <c r="P50" i="79"/>
  <c r="O50" i="79"/>
  <c r="N50" i="79"/>
  <c r="M50" i="79"/>
  <c r="L50" i="79"/>
  <c r="K50" i="79"/>
  <c r="J50" i="79"/>
  <c r="I50" i="79"/>
  <c r="H50" i="79"/>
  <c r="G50" i="79"/>
  <c r="F50" i="79"/>
  <c r="E50" i="79"/>
  <c r="D50" i="79"/>
  <c r="C50" i="79"/>
  <c r="B50" i="79"/>
  <c r="AI49" i="79"/>
  <c r="AH49" i="79"/>
  <c r="AF49" i="79"/>
  <c r="AE49" i="79"/>
  <c r="AD49" i="79"/>
  <c r="AC49" i="79"/>
  <c r="AB49" i="79"/>
  <c r="T49" i="79"/>
  <c r="S49" i="79"/>
  <c r="R49" i="79"/>
  <c r="Q49" i="79"/>
  <c r="K49" i="79"/>
  <c r="J49" i="79"/>
  <c r="I49" i="79"/>
  <c r="H49" i="79"/>
  <c r="G49" i="79"/>
  <c r="AI48" i="79"/>
  <c r="AH48" i="79"/>
  <c r="AI47" i="79"/>
  <c r="AH47" i="79"/>
  <c r="AI46" i="79"/>
  <c r="AH46" i="79"/>
  <c r="AI45" i="79"/>
  <c r="AH45" i="79"/>
  <c r="AI44" i="79"/>
  <c r="AH44" i="79"/>
  <c r="AI43" i="79"/>
  <c r="AH43" i="79"/>
  <c r="AI42" i="79"/>
  <c r="AH42" i="79"/>
  <c r="AI41" i="79"/>
  <c r="AH41" i="79"/>
  <c r="AI40" i="79"/>
  <c r="AH40" i="79"/>
  <c r="AI39" i="79"/>
  <c r="AH39" i="79"/>
  <c r="AI38" i="79"/>
  <c r="AH38" i="79"/>
  <c r="AI37" i="79"/>
  <c r="AH37" i="79"/>
  <c r="AI36" i="79"/>
  <c r="AH36" i="79"/>
  <c r="AI35" i="79"/>
  <c r="AH35" i="79"/>
  <c r="AI34" i="79"/>
  <c r="AH34" i="79"/>
  <c r="AI33" i="79"/>
  <c r="AH33" i="79"/>
  <c r="AI32" i="79"/>
  <c r="AH32" i="79"/>
  <c r="AI31" i="79"/>
  <c r="AH31" i="79"/>
  <c r="AI30" i="79"/>
  <c r="AH30" i="79"/>
  <c r="AI29" i="79"/>
  <c r="AH29" i="79"/>
  <c r="AI28" i="79"/>
  <c r="AH28" i="79"/>
  <c r="AI27" i="79"/>
  <c r="AH27" i="79"/>
  <c r="AI26" i="79"/>
  <c r="AH26" i="79"/>
  <c r="AI25" i="79"/>
  <c r="AH25" i="79"/>
  <c r="AI24" i="79"/>
  <c r="AH24" i="79"/>
  <c r="AI23" i="79"/>
  <c r="AH23" i="79"/>
  <c r="AI22" i="79"/>
  <c r="AH22" i="79"/>
  <c r="AI21" i="79"/>
  <c r="AH21" i="79"/>
  <c r="AI20" i="79"/>
  <c r="AH20" i="79"/>
  <c r="AI19" i="79"/>
  <c r="AH19" i="79"/>
  <c r="AI18" i="79"/>
  <c r="AH18" i="79"/>
  <c r="AI17" i="79"/>
  <c r="AH17" i="79"/>
  <c r="AI16" i="79"/>
  <c r="AH16" i="79"/>
  <c r="AI15" i="79"/>
  <c r="AH15" i="79"/>
  <c r="AI14" i="79"/>
  <c r="AH14" i="79"/>
  <c r="AI13" i="79"/>
  <c r="AH13" i="79"/>
  <c r="AI12" i="79"/>
  <c r="AH12" i="79"/>
  <c r="AI11" i="79"/>
  <c r="AH11" i="79"/>
  <c r="AF7" i="79"/>
  <c r="AE7" i="79"/>
  <c r="AD7" i="79"/>
  <c r="AC7" i="79"/>
  <c r="AB7" i="79"/>
  <c r="AA7" i="79"/>
  <c r="Z7" i="79"/>
  <c r="Y7" i="79"/>
  <c r="X7" i="79"/>
  <c r="W7" i="79"/>
  <c r="V7" i="79"/>
  <c r="U7" i="79"/>
  <c r="T7" i="79"/>
  <c r="S7" i="79"/>
  <c r="R7" i="79"/>
  <c r="Q7" i="79"/>
  <c r="P7" i="79"/>
  <c r="O7" i="79"/>
  <c r="N7" i="79"/>
  <c r="M7" i="79"/>
  <c r="L7" i="79"/>
  <c r="K7" i="79"/>
  <c r="J7" i="79"/>
  <c r="I7" i="79"/>
  <c r="H7" i="79"/>
  <c r="G7" i="79"/>
  <c r="F7" i="79"/>
  <c r="E7" i="79"/>
  <c r="D7" i="79"/>
  <c r="C7" i="79"/>
  <c r="B7" i="79"/>
  <c r="A7" i="79"/>
  <c r="AG6" i="79"/>
  <c r="K6" i="79"/>
  <c r="AF5" i="79"/>
  <c r="AE5" i="79"/>
  <c r="AD5" i="79"/>
  <c r="AC5" i="79"/>
  <c r="AB5" i="79"/>
  <c r="AA5" i="79"/>
  <c r="Z5" i="79"/>
  <c r="Y5" i="79"/>
  <c r="X5" i="79"/>
  <c r="W5" i="79"/>
  <c r="V5" i="79"/>
  <c r="U5" i="79"/>
  <c r="T5" i="79"/>
  <c r="S5" i="79"/>
  <c r="R5" i="79"/>
  <c r="Q5" i="79"/>
  <c r="P5" i="79"/>
  <c r="O5" i="79"/>
  <c r="N5" i="79"/>
  <c r="M5" i="79"/>
  <c r="L5" i="79"/>
  <c r="K5" i="79"/>
  <c r="J5" i="79"/>
  <c r="I5" i="79"/>
  <c r="H5" i="79"/>
  <c r="G5" i="79"/>
  <c r="F5" i="79"/>
  <c r="E5" i="79"/>
  <c r="D5" i="79"/>
  <c r="C5" i="79"/>
  <c r="B5" i="79"/>
  <c r="AG4" i="79"/>
  <c r="K4" i="79"/>
  <c r="E4" i="79"/>
  <c r="H4" i="79" s="1"/>
  <c r="B4" i="79"/>
  <c r="S246" i="79" s="1"/>
  <c r="AG3" i="79"/>
  <c r="AG2" i="79"/>
  <c r="AF274" i="78"/>
  <c r="AE274" i="78"/>
  <c r="AD274" i="78"/>
  <c r="AC274" i="78"/>
  <c r="AB274" i="78"/>
  <c r="AA274" i="78"/>
  <c r="Z274" i="78"/>
  <c r="Y274" i="78"/>
  <c r="X274" i="78"/>
  <c r="W274" i="78"/>
  <c r="V274" i="78"/>
  <c r="U274" i="78"/>
  <c r="T274" i="78"/>
  <c r="S274" i="78"/>
  <c r="R274" i="78"/>
  <c r="Q274" i="78"/>
  <c r="P274" i="78"/>
  <c r="O274" i="78"/>
  <c r="N274" i="78"/>
  <c r="M274" i="78"/>
  <c r="L274" i="78"/>
  <c r="K274" i="78"/>
  <c r="J274" i="78"/>
  <c r="I274" i="78"/>
  <c r="H274" i="78"/>
  <c r="G274" i="78"/>
  <c r="F274" i="78"/>
  <c r="E274" i="78"/>
  <c r="D274" i="78"/>
  <c r="C274" i="78"/>
  <c r="B274" i="78"/>
  <c r="A274" i="78"/>
  <c r="AF273" i="78"/>
  <c r="AE273" i="78"/>
  <c r="AD273" i="78"/>
  <c r="AC273" i="78"/>
  <c r="AB273" i="78"/>
  <c r="AA273" i="78"/>
  <c r="Z273" i="78"/>
  <c r="Y273" i="78"/>
  <c r="X273" i="78"/>
  <c r="W273" i="78"/>
  <c r="V273" i="78"/>
  <c r="U273" i="78"/>
  <c r="T273" i="78"/>
  <c r="S273" i="78"/>
  <c r="R273" i="78"/>
  <c r="Q273" i="78"/>
  <c r="P273" i="78"/>
  <c r="O273" i="78"/>
  <c r="N273" i="78"/>
  <c r="M273" i="78"/>
  <c r="L273" i="78"/>
  <c r="K273" i="78"/>
  <c r="J273" i="78"/>
  <c r="I273" i="78"/>
  <c r="H273" i="78"/>
  <c r="G273" i="78"/>
  <c r="F273" i="78"/>
  <c r="E273" i="78"/>
  <c r="D273" i="78"/>
  <c r="C273" i="78"/>
  <c r="B273" i="78"/>
  <c r="A273" i="78"/>
  <c r="AF272" i="78"/>
  <c r="AE272" i="78"/>
  <c r="AD272" i="78"/>
  <c r="AC272" i="78"/>
  <c r="AB272" i="78"/>
  <c r="AA272" i="78"/>
  <c r="Z272" i="78"/>
  <c r="Y272" i="78"/>
  <c r="X272" i="78"/>
  <c r="W272" i="78"/>
  <c r="V272" i="78"/>
  <c r="U272" i="78"/>
  <c r="T272" i="78"/>
  <c r="S272" i="78"/>
  <c r="R272" i="78"/>
  <c r="Q272" i="78"/>
  <c r="P272" i="78"/>
  <c r="O272" i="78"/>
  <c r="N272" i="78"/>
  <c r="M272" i="78"/>
  <c r="L272" i="78"/>
  <c r="K272" i="78"/>
  <c r="J272" i="78"/>
  <c r="I272" i="78"/>
  <c r="H272" i="78"/>
  <c r="G272" i="78"/>
  <c r="F272" i="78"/>
  <c r="E272" i="78"/>
  <c r="D272" i="78"/>
  <c r="C272" i="78"/>
  <c r="B272" i="78"/>
  <c r="A272" i="78"/>
  <c r="AF271" i="78"/>
  <c r="AE271" i="78"/>
  <c r="AD271" i="78"/>
  <c r="AC271" i="78"/>
  <c r="AB271" i="78"/>
  <c r="AA271" i="78"/>
  <c r="Z271" i="78"/>
  <c r="Y271" i="78"/>
  <c r="X271" i="78"/>
  <c r="W271" i="78"/>
  <c r="V271" i="78"/>
  <c r="U271" i="78"/>
  <c r="T271" i="78"/>
  <c r="S271" i="78"/>
  <c r="R271" i="78"/>
  <c r="Q271" i="78"/>
  <c r="P271" i="78"/>
  <c r="O271" i="78"/>
  <c r="N271" i="78"/>
  <c r="M271" i="78"/>
  <c r="L271" i="78"/>
  <c r="K271" i="78"/>
  <c r="J271" i="78"/>
  <c r="I271" i="78"/>
  <c r="H271" i="78"/>
  <c r="G271" i="78"/>
  <c r="F271" i="78"/>
  <c r="E271" i="78"/>
  <c r="D271" i="78"/>
  <c r="C271" i="78"/>
  <c r="B271" i="78"/>
  <c r="A271" i="78"/>
  <c r="AF270" i="78"/>
  <c r="AE270" i="78"/>
  <c r="AD270" i="78"/>
  <c r="AC270" i="78"/>
  <c r="AB270" i="78"/>
  <c r="AA270" i="78"/>
  <c r="Z270" i="78"/>
  <c r="Y270" i="78"/>
  <c r="X270" i="78"/>
  <c r="W270" i="78"/>
  <c r="V270" i="78"/>
  <c r="U270" i="78"/>
  <c r="T270" i="78"/>
  <c r="S270" i="78"/>
  <c r="R270" i="78"/>
  <c r="Q270" i="78"/>
  <c r="P270" i="78"/>
  <c r="O270" i="78"/>
  <c r="N270" i="78"/>
  <c r="M270" i="78"/>
  <c r="L270" i="78"/>
  <c r="K270" i="78"/>
  <c r="J270" i="78"/>
  <c r="I270" i="78"/>
  <c r="H270" i="78"/>
  <c r="G270" i="78"/>
  <c r="F270" i="78"/>
  <c r="E270" i="78"/>
  <c r="D270" i="78"/>
  <c r="C270" i="78"/>
  <c r="B270" i="78"/>
  <c r="AX249" i="78"/>
  <c r="AW249" i="78"/>
  <c r="AV249" i="78"/>
  <c r="AU249" i="78"/>
  <c r="AT249" i="78"/>
  <c r="AS249" i="78"/>
  <c r="AR249" i="78"/>
  <c r="AQ249" i="78"/>
  <c r="AP249" i="78"/>
  <c r="AO249" i="78"/>
  <c r="AN249" i="78"/>
  <c r="AM249" i="78"/>
  <c r="AL249" i="78"/>
  <c r="AK249" i="78"/>
  <c r="AJ249" i="78"/>
  <c r="AI249" i="78"/>
  <c r="AH249" i="78"/>
  <c r="AG249" i="78"/>
  <c r="AF249" i="78"/>
  <c r="AE249" i="78"/>
  <c r="AD249" i="78"/>
  <c r="AC249" i="78"/>
  <c r="AB249" i="78"/>
  <c r="AA249" i="78"/>
  <c r="Z249" i="78"/>
  <c r="Y249" i="78"/>
  <c r="X249" i="78"/>
  <c r="W249" i="78"/>
  <c r="V249" i="78"/>
  <c r="U249" i="78"/>
  <c r="T249" i="78"/>
  <c r="S245" i="78"/>
  <c r="C244" i="78"/>
  <c r="B244" i="78"/>
  <c r="AG235" i="78"/>
  <c r="AF235" i="78"/>
  <c r="AE235" i="78"/>
  <c r="AD235" i="78"/>
  <c r="AC235" i="78"/>
  <c r="AB235" i="78"/>
  <c r="AA235" i="78"/>
  <c r="Z235" i="78"/>
  <c r="Y235" i="78"/>
  <c r="X235" i="78"/>
  <c r="W235" i="78"/>
  <c r="V235" i="78"/>
  <c r="U235" i="78"/>
  <c r="T235" i="78"/>
  <c r="S235" i="78"/>
  <c r="R235" i="78"/>
  <c r="Q235" i="78"/>
  <c r="H235" i="78"/>
  <c r="G235" i="78"/>
  <c r="F235" i="78"/>
  <c r="E235" i="78"/>
  <c r="D235" i="78"/>
  <c r="C235" i="78"/>
  <c r="B235" i="78"/>
  <c r="P234" i="78"/>
  <c r="O234" i="78"/>
  <c r="N234" i="78"/>
  <c r="M234" i="78"/>
  <c r="L234" i="78"/>
  <c r="K234" i="78"/>
  <c r="J234" i="78"/>
  <c r="I234" i="78"/>
  <c r="H234" i="78"/>
  <c r="G234" i="78"/>
  <c r="F234" i="78"/>
  <c r="E234" i="78"/>
  <c r="D234" i="78"/>
  <c r="B234" i="78"/>
  <c r="P233" i="78"/>
  <c r="O233" i="78"/>
  <c r="N233" i="78"/>
  <c r="M233" i="78"/>
  <c r="L233" i="78"/>
  <c r="K233" i="78"/>
  <c r="J233" i="78"/>
  <c r="I233" i="78"/>
  <c r="H233" i="78"/>
  <c r="G233" i="78"/>
  <c r="F233" i="78"/>
  <c r="E233" i="78"/>
  <c r="D233" i="78"/>
  <c r="B233" i="78"/>
  <c r="P232" i="78"/>
  <c r="O232" i="78"/>
  <c r="N232" i="78"/>
  <c r="M232" i="78"/>
  <c r="L232" i="78"/>
  <c r="K232" i="78"/>
  <c r="J232" i="78"/>
  <c r="I232" i="78"/>
  <c r="H232" i="78"/>
  <c r="G232" i="78"/>
  <c r="F232" i="78"/>
  <c r="E232" i="78"/>
  <c r="D232" i="78"/>
  <c r="B232" i="78"/>
  <c r="H231" i="78"/>
  <c r="G231" i="78"/>
  <c r="F231" i="78"/>
  <c r="E231" i="78"/>
  <c r="D231" i="78"/>
  <c r="B231" i="78"/>
  <c r="P230" i="78"/>
  <c r="O230" i="78"/>
  <c r="N230" i="78"/>
  <c r="M230" i="78"/>
  <c r="L230" i="78"/>
  <c r="K230" i="78"/>
  <c r="J230" i="78"/>
  <c r="I230" i="78"/>
  <c r="H230" i="78"/>
  <c r="G230" i="78"/>
  <c r="F230" i="78"/>
  <c r="E230" i="78"/>
  <c r="D230" i="78"/>
  <c r="B230" i="78"/>
  <c r="P229" i="78"/>
  <c r="O229" i="78"/>
  <c r="N229" i="78"/>
  <c r="M229" i="78"/>
  <c r="L229" i="78"/>
  <c r="K229" i="78"/>
  <c r="J229" i="78"/>
  <c r="I229" i="78"/>
  <c r="H229" i="78"/>
  <c r="G229" i="78"/>
  <c r="F229" i="78"/>
  <c r="E229" i="78"/>
  <c r="D229" i="78"/>
  <c r="B229" i="78"/>
  <c r="AG227" i="78"/>
  <c r="AF227" i="78"/>
  <c r="AE227" i="78"/>
  <c r="AD227" i="78"/>
  <c r="AC227" i="78"/>
  <c r="AB227" i="78"/>
  <c r="AA227" i="78"/>
  <c r="Z227" i="78"/>
  <c r="Y227" i="78"/>
  <c r="X227" i="78"/>
  <c r="W227" i="78"/>
  <c r="V227" i="78"/>
  <c r="U227" i="78"/>
  <c r="T227" i="78"/>
  <c r="S227" i="78"/>
  <c r="R227" i="78"/>
  <c r="Q227" i="78"/>
  <c r="P227" i="78"/>
  <c r="O227" i="78"/>
  <c r="N227" i="78"/>
  <c r="M227" i="78"/>
  <c r="L227" i="78"/>
  <c r="K227" i="78"/>
  <c r="J227" i="78"/>
  <c r="I227" i="78"/>
  <c r="H227" i="78"/>
  <c r="G227" i="78"/>
  <c r="F227" i="78"/>
  <c r="E227" i="78"/>
  <c r="D227" i="78"/>
  <c r="C227" i="78"/>
  <c r="B227" i="78"/>
  <c r="AI120" i="78"/>
  <c r="AH120" i="78"/>
  <c r="AI119" i="78"/>
  <c r="AH119" i="78"/>
  <c r="AI118" i="78"/>
  <c r="AH118" i="78"/>
  <c r="AI117" i="78"/>
  <c r="AH117" i="78"/>
  <c r="AI116" i="78"/>
  <c r="AH116" i="78"/>
  <c r="AI115" i="78"/>
  <c r="AH115" i="78"/>
  <c r="AI114" i="78"/>
  <c r="AH114" i="78"/>
  <c r="AI113" i="78"/>
  <c r="AH113" i="78"/>
  <c r="L113" i="78"/>
  <c r="K113" i="78"/>
  <c r="J113" i="78"/>
  <c r="I113" i="78"/>
  <c r="H113" i="78"/>
  <c r="G113" i="78"/>
  <c r="F113" i="78"/>
  <c r="E113" i="78"/>
  <c r="D113" i="78"/>
  <c r="C113" i="78"/>
  <c r="B113" i="78"/>
  <c r="AI112" i="78"/>
  <c r="AH112" i="78"/>
  <c r="AI111" i="78"/>
  <c r="AH111" i="78"/>
  <c r="AI110" i="78"/>
  <c r="AH110" i="78"/>
  <c r="AF110" i="78"/>
  <c r="AE110" i="78"/>
  <c r="AC110" i="78"/>
  <c r="AB110" i="78"/>
  <c r="AA110" i="78"/>
  <c r="Z110" i="78"/>
  <c r="Y110" i="78"/>
  <c r="X110" i="78"/>
  <c r="W110" i="78"/>
  <c r="V110" i="78"/>
  <c r="U110" i="78"/>
  <c r="T110" i="78"/>
  <c r="S110" i="78"/>
  <c r="R110" i="78"/>
  <c r="Q110" i="78"/>
  <c r="O110" i="78"/>
  <c r="N110" i="78"/>
  <c r="M110" i="78"/>
  <c r="L110" i="78"/>
  <c r="K110" i="78"/>
  <c r="J110" i="78"/>
  <c r="I110" i="78"/>
  <c r="H110" i="78"/>
  <c r="G110" i="78"/>
  <c r="F110" i="78"/>
  <c r="E110" i="78"/>
  <c r="D110" i="78"/>
  <c r="C110" i="78"/>
  <c r="AI109" i="78"/>
  <c r="AH109" i="78"/>
  <c r="AI108" i="78"/>
  <c r="AH108" i="78"/>
  <c r="AI107" i="78"/>
  <c r="AH107" i="78"/>
  <c r="AI106" i="78"/>
  <c r="AH106" i="78"/>
  <c r="AI105" i="78"/>
  <c r="AH105" i="78"/>
  <c r="AI104" i="78"/>
  <c r="AH104" i="78"/>
  <c r="AI103" i="78"/>
  <c r="AH103" i="78"/>
  <c r="AI102" i="78"/>
  <c r="AH102" i="78"/>
  <c r="AI101" i="78"/>
  <c r="AH101" i="78"/>
  <c r="AI100" i="78"/>
  <c r="AH100" i="78"/>
  <c r="AF100" i="78"/>
  <c r="AE100" i="78"/>
  <c r="AD100" i="78"/>
  <c r="AC100" i="78"/>
  <c r="AB100" i="78"/>
  <c r="AA100" i="78"/>
  <c r="Z100" i="78"/>
  <c r="Y100" i="78"/>
  <c r="X100" i="78"/>
  <c r="W100" i="78"/>
  <c r="V100" i="78"/>
  <c r="U100" i="78"/>
  <c r="T100" i="78"/>
  <c r="S100" i="78"/>
  <c r="R100" i="78"/>
  <c r="Q100" i="78"/>
  <c r="P100" i="78"/>
  <c r="O100" i="78"/>
  <c r="N100" i="78"/>
  <c r="M100" i="78"/>
  <c r="L100" i="78"/>
  <c r="K100" i="78"/>
  <c r="J100" i="78"/>
  <c r="I100" i="78"/>
  <c r="H100" i="78"/>
  <c r="G100" i="78"/>
  <c r="F100" i="78"/>
  <c r="E100" i="78"/>
  <c r="D100" i="78"/>
  <c r="C100" i="78"/>
  <c r="B100" i="78"/>
  <c r="AI99" i="78"/>
  <c r="AH99" i="78"/>
  <c r="AF99" i="78"/>
  <c r="AE99" i="78"/>
  <c r="AD99" i="78"/>
  <c r="AC99" i="78"/>
  <c r="AB99" i="78"/>
  <c r="AA99" i="78"/>
  <c r="Z99" i="78"/>
  <c r="Y99" i="78"/>
  <c r="X99" i="78"/>
  <c r="W99" i="78"/>
  <c r="V99" i="78"/>
  <c r="U99" i="78"/>
  <c r="T99" i="78"/>
  <c r="S99" i="78"/>
  <c r="R99" i="78"/>
  <c r="Q99" i="78"/>
  <c r="P99" i="78"/>
  <c r="O99" i="78"/>
  <c r="N99" i="78"/>
  <c r="M99" i="78"/>
  <c r="L99" i="78"/>
  <c r="K99" i="78"/>
  <c r="J99" i="78"/>
  <c r="I99" i="78"/>
  <c r="H99" i="78"/>
  <c r="G99" i="78"/>
  <c r="F99" i="78"/>
  <c r="E99" i="78"/>
  <c r="D99" i="78"/>
  <c r="C99" i="78"/>
  <c r="B99" i="78"/>
  <c r="AI98" i="78"/>
  <c r="AH98" i="78"/>
  <c r="AI97" i="78"/>
  <c r="AH97" i="78"/>
  <c r="AI96" i="78"/>
  <c r="AH96" i="78"/>
  <c r="AI95" i="78"/>
  <c r="AH95" i="78"/>
  <c r="AI94" i="78"/>
  <c r="AH94" i="78"/>
  <c r="AI93" i="78"/>
  <c r="AH93" i="78"/>
  <c r="AI92" i="78"/>
  <c r="AH92" i="78"/>
  <c r="AF92" i="78"/>
  <c r="AE92" i="78"/>
  <c r="AD92" i="78"/>
  <c r="AC92" i="78"/>
  <c r="AB92" i="78"/>
  <c r="AA92" i="78"/>
  <c r="Z92" i="78"/>
  <c r="Y92" i="78"/>
  <c r="X92" i="78"/>
  <c r="W92" i="78"/>
  <c r="V92" i="78"/>
  <c r="U92" i="78"/>
  <c r="T92" i="78"/>
  <c r="S92" i="78"/>
  <c r="R92" i="78"/>
  <c r="Q92" i="78"/>
  <c r="P92" i="78"/>
  <c r="O92" i="78"/>
  <c r="N92" i="78"/>
  <c r="M92" i="78"/>
  <c r="L92" i="78"/>
  <c r="K92" i="78"/>
  <c r="J92" i="78"/>
  <c r="I92" i="78"/>
  <c r="H92" i="78"/>
  <c r="G92" i="78"/>
  <c r="F92" i="78"/>
  <c r="E92" i="78"/>
  <c r="D92" i="78"/>
  <c r="C92" i="78"/>
  <c r="B92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91" i="78"/>
  <c r="AI90" i="78"/>
  <c r="AH90" i="78"/>
  <c r="AI89" i="78"/>
  <c r="AH89" i="78"/>
  <c r="AG89" i="78"/>
  <c r="AF89" i="78"/>
  <c r="AE89" i="78"/>
  <c r="AD89" i="78"/>
  <c r="AC89" i="78"/>
  <c r="AB89" i="78"/>
  <c r="AA89" i="78"/>
  <c r="Z89" i="78"/>
  <c r="Y89" i="78"/>
  <c r="X89" i="78"/>
  <c r="W89" i="78"/>
  <c r="V89" i="78"/>
  <c r="U89" i="78"/>
  <c r="T89" i="78"/>
  <c r="S89" i="78"/>
  <c r="R89" i="78"/>
  <c r="Q89" i="78"/>
  <c r="P89" i="78"/>
  <c r="O89" i="78"/>
  <c r="N89" i="78"/>
  <c r="M89" i="78"/>
  <c r="L89" i="78"/>
  <c r="K89" i="78"/>
  <c r="J89" i="78"/>
  <c r="I89" i="78"/>
  <c r="H89" i="78"/>
  <c r="G89" i="78"/>
  <c r="F89" i="78"/>
  <c r="E89" i="78"/>
  <c r="D89" i="78"/>
  <c r="C89" i="78"/>
  <c r="B89" i="78"/>
  <c r="AI88" i="78"/>
  <c r="AH88" i="78"/>
  <c r="AG88" i="78"/>
  <c r="AI87" i="78"/>
  <c r="AH87" i="78"/>
  <c r="AI86" i="78"/>
  <c r="AH86" i="78"/>
  <c r="AI85" i="78"/>
  <c r="AH85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C84" i="78"/>
  <c r="B84" i="78"/>
  <c r="AI83" i="78"/>
  <c r="AH83" i="78"/>
  <c r="AI82" i="78"/>
  <c r="AH82" i="78"/>
  <c r="AI81" i="78"/>
  <c r="AH81" i="78"/>
  <c r="AI80" i="78"/>
  <c r="AH80" i="78"/>
  <c r="AI79" i="78"/>
  <c r="AH79" i="78"/>
  <c r="AI78" i="78"/>
  <c r="AH78" i="78"/>
  <c r="AI77" i="78"/>
  <c r="AH77" i="78"/>
  <c r="AI76" i="78"/>
  <c r="AH76" i="78"/>
  <c r="AI75" i="78"/>
  <c r="AH75" i="78"/>
  <c r="AI74" i="78"/>
  <c r="AH74" i="78"/>
  <c r="AI73" i="78"/>
  <c r="AH73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D72" i="78"/>
  <c r="C72" i="78"/>
  <c r="B72" i="78"/>
  <c r="AI71" i="78"/>
  <c r="AH71" i="78"/>
  <c r="AI70" i="78"/>
  <c r="AH70" i="78"/>
  <c r="AI69" i="78"/>
  <c r="AH69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C68" i="78"/>
  <c r="B68" i="78"/>
  <c r="AI67" i="78"/>
  <c r="AH67" i="78"/>
  <c r="AG67" i="78"/>
  <c r="AI66" i="78"/>
  <c r="AH66" i="78"/>
  <c r="AI65" i="78"/>
  <c r="AH65" i="78"/>
  <c r="AI64" i="78"/>
  <c r="AH64" i="78"/>
  <c r="AI63" i="78"/>
  <c r="AH63" i="78"/>
  <c r="AI62" i="78"/>
  <c r="AH62" i="78"/>
  <c r="AI61" i="78"/>
  <c r="AH61" i="78"/>
  <c r="AI60" i="78"/>
  <c r="AH60" i="78"/>
  <c r="AI59" i="78"/>
  <c r="AH59" i="78"/>
  <c r="AI58" i="78"/>
  <c r="AH58" i="78"/>
  <c r="AI57" i="78"/>
  <c r="AH57" i="78"/>
  <c r="AI56" i="78"/>
  <c r="AH56" i="78"/>
  <c r="AI55" i="78"/>
  <c r="AH55" i="78"/>
  <c r="AI54" i="78"/>
  <c r="AH54" i="78"/>
  <c r="AG54" i="78"/>
  <c r="AF54" i="78"/>
  <c r="AE54" i="78"/>
  <c r="AD54" i="78"/>
  <c r="AC54" i="78"/>
  <c r="AB54" i="78"/>
  <c r="AA54" i="78"/>
  <c r="Z54" i="78"/>
  <c r="Y54" i="78"/>
  <c r="X54" i="78"/>
  <c r="W54" i="78"/>
  <c r="V54" i="78"/>
  <c r="U54" i="78"/>
  <c r="T54" i="78"/>
  <c r="S54" i="78"/>
  <c r="R54" i="78"/>
  <c r="Q54" i="78"/>
  <c r="P54" i="78"/>
  <c r="O54" i="78"/>
  <c r="N54" i="78"/>
  <c r="M54" i="78"/>
  <c r="L54" i="78"/>
  <c r="K54" i="78"/>
  <c r="J54" i="78"/>
  <c r="I54" i="78"/>
  <c r="H54" i="78"/>
  <c r="G54" i="78"/>
  <c r="F54" i="78"/>
  <c r="E54" i="78"/>
  <c r="D54" i="78"/>
  <c r="C54" i="78"/>
  <c r="B54" i="78"/>
  <c r="AI53" i="78"/>
  <c r="AH53" i="78"/>
  <c r="AI52" i="78"/>
  <c r="AH52" i="78"/>
  <c r="AI51" i="78"/>
  <c r="AH51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C50" i="78"/>
  <c r="B50" i="78"/>
  <c r="AI49" i="78"/>
  <c r="AH49" i="78"/>
  <c r="AA49" i="78"/>
  <c r="Z49" i="78"/>
  <c r="Y49" i="78"/>
  <c r="X49" i="78"/>
  <c r="W49" i="78"/>
  <c r="V49" i="78"/>
  <c r="U49" i="78"/>
  <c r="T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C49" i="78"/>
  <c r="B49" i="78"/>
  <c r="AI48" i="78"/>
  <c r="AH48" i="78"/>
  <c r="AI47" i="78"/>
  <c r="AH47" i="78"/>
  <c r="AI46" i="78"/>
  <c r="AH46" i="78"/>
  <c r="AI45" i="78"/>
  <c r="AH45" i="78"/>
  <c r="AI44" i="78"/>
  <c r="AH44" i="78"/>
  <c r="AI43" i="78"/>
  <c r="AH43" i="78"/>
  <c r="AI42" i="78"/>
  <c r="AH42" i="78"/>
  <c r="AI41" i="78"/>
  <c r="AH41" i="78"/>
  <c r="AI40" i="78"/>
  <c r="AH40" i="78"/>
  <c r="AI39" i="78"/>
  <c r="AH39" i="78"/>
  <c r="AI38" i="78"/>
  <c r="AH38" i="78"/>
  <c r="AI37" i="78"/>
  <c r="AH37" i="78"/>
  <c r="AI36" i="78"/>
  <c r="AH36" i="78"/>
  <c r="AI35" i="78"/>
  <c r="AH35" i="78"/>
  <c r="AI34" i="78"/>
  <c r="AH34" i="78"/>
  <c r="AI33" i="78"/>
  <c r="AH33" i="78"/>
  <c r="AI32" i="78"/>
  <c r="AH32" i="78"/>
  <c r="AI31" i="78"/>
  <c r="AH31" i="78"/>
  <c r="AI30" i="78"/>
  <c r="AH30" i="78"/>
  <c r="AI29" i="78"/>
  <c r="AH29" i="78"/>
  <c r="AI28" i="78"/>
  <c r="AH28" i="78"/>
  <c r="AI27" i="78"/>
  <c r="AH27" i="78"/>
  <c r="C27" i="78"/>
  <c r="B27" i="78"/>
  <c r="AI26" i="78"/>
  <c r="AH26" i="78"/>
  <c r="AI25" i="78"/>
  <c r="AH25" i="78"/>
  <c r="AI24" i="78"/>
  <c r="AH24" i="78"/>
  <c r="AI23" i="78"/>
  <c r="AH23" i="78"/>
  <c r="I23" i="78"/>
  <c r="H23" i="78"/>
  <c r="G23" i="78"/>
  <c r="F23" i="78"/>
  <c r="E23" i="78"/>
  <c r="D23" i="78"/>
  <c r="C23" i="78"/>
  <c r="B23" i="78"/>
  <c r="AI22" i="78"/>
  <c r="AH22" i="78"/>
  <c r="AI21" i="78"/>
  <c r="AH21" i="78"/>
  <c r="AI20" i="78"/>
  <c r="AH20" i="78"/>
  <c r="AI19" i="78"/>
  <c r="AH19" i="78"/>
  <c r="AI18" i="78"/>
  <c r="AH18" i="78"/>
  <c r="AI17" i="78"/>
  <c r="AH17" i="78"/>
  <c r="AI16" i="78"/>
  <c r="AH16" i="78"/>
  <c r="AI15" i="78"/>
  <c r="AH15" i="78"/>
  <c r="AI14" i="78"/>
  <c r="AH14" i="78"/>
  <c r="AI13" i="78"/>
  <c r="AH13" i="78"/>
  <c r="AI12" i="78"/>
  <c r="AH12" i="78"/>
  <c r="AI11" i="78"/>
  <c r="AH11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C7" i="78"/>
  <c r="B7" i="78"/>
  <c r="A7" i="78"/>
  <c r="AG6" i="78"/>
  <c r="K6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C5" i="78"/>
  <c r="B5" i="78"/>
  <c r="AG4" i="78"/>
  <c r="K4" i="78"/>
  <c r="E4" i="78"/>
  <c r="H4" i="78" s="1"/>
  <c r="B4" i="78"/>
  <c r="S246" i="78" s="1"/>
  <c r="AG3" i="78"/>
  <c r="AG2" i="78"/>
  <c r="AF274" i="77"/>
  <c r="AE274" i="77"/>
  <c r="AD274" i="77"/>
  <c r="AC274" i="77"/>
  <c r="AB274" i="77"/>
  <c r="AA274" i="77"/>
  <c r="Z274" i="77"/>
  <c r="Y274" i="77"/>
  <c r="X274" i="77"/>
  <c r="W274" i="77"/>
  <c r="V274" i="77"/>
  <c r="U274" i="77"/>
  <c r="T274" i="77"/>
  <c r="S274" i="77"/>
  <c r="R274" i="77"/>
  <c r="Q274" i="77"/>
  <c r="P274" i="77"/>
  <c r="O274" i="77"/>
  <c r="N274" i="77"/>
  <c r="M274" i="77"/>
  <c r="L274" i="77"/>
  <c r="K274" i="77"/>
  <c r="J274" i="77"/>
  <c r="I274" i="77"/>
  <c r="H274" i="77"/>
  <c r="G274" i="77"/>
  <c r="F274" i="77"/>
  <c r="E274" i="77"/>
  <c r="D274" i="77"/>
  <c r="C274" i="77"/>
  <c r="B274" i="77"/>
  <c r="A274" i="77"/>
  <c r="AF273" i="77"/>
  <c r="AE273" i="77"/>
  <c r="AD273" i="77"/>
  <c r="AC273" i="77"/>
  <c r="AB273" i="77"/>
  <c r="AA273" i="77"/>
  <c r="Z273" i="77"/>
  <c r="Y273" i="77"/>
  <c r="X273" i="77"/>
  <c r="W273" i="77"/>
  <c r="V273" i="77"/>
  <c r="U273" i="77"/>
  <c r="T273" i="77"/>
  <c r="S273" i="77"/>
  <c r="R273" i="77"/>
  <c r="Q273" i="77"/>
  <c r="P273" i="77"/>
  <c r="O273" i="77"/>
  <c r="N273" i="77"/>
  <c r="M273" i="77"/>
  <c r="L273" i="77"/>
  <c r="K273" i="77"/>
  <c r="J273" i="77"/>
  <c r="I273" i="77"/>
  <c r="H273" i="77"/>
  <c r="G273" i="77"/>
  <c r="F273" i="77"/>
  <c r="E273" i="77"/>
  <c r="D273" i="77"/>
  <c r="C273" i="77"/>
  <c r="B273" i="77"/>
  <c r="A273" i="77"/>
  <c r="AF272" i="77"/>
  <c r="AE272" i="77"/>
  <c r="AD272" i="77"/>
  <c r="AC272" i="77"/>
  <c r="AB272" i="77"/>
  <c r="AA272" i="77"/>
  <c r="Z272" i="77"/>
  <c r="Y272" i="77"/>
  <c r="X272" i="77"/>
  <c r="W272" i="77"/>
  <c r="V272" i="77"/>
  <c r="U272" i="77"/>
  <c r="T272" i="77"/>
  <c r="S272" i="77"/>
  <c r="R272" i="77"/>
  <c r="Q272" i="77"/>
  <c r="P272" i="77"/>
  <c r="O272" i="77"/>
  <c r="N272" i="77"/>
  <c r="M272" i="77"/>
  <c r="L272" i="77"/>
  <c r="K272" i="77"/>
  <c r="J272" i="77"/>
  <c r="I272" i="77"/>
  <c r="H272" i="77"/>
  <c r="G272" i="77"/>
  <c r="F272" i="77"/>
  <c r="E272" i="77"/>
  <c r="D272" i="77"/>
  <c r="C272" i="77"/>
  <c r="B272" i="77"/>
  <c r="A272" i="77"/>
  <c r="AF271" i="77"/>
  <c r="AE271" i="77"/>
  <c r="AD271" i="77"/>
  <c r="AC271" i="77"/>
  <c r="AB271" i="77"/>
  <c r="AA271" i="77"/>
  <c r="Z271" i="77"/>
  <c r="Y271" i="77"/>
  <c r="X271" i="77"/>
  <c r="W271" i="77"/>
  <c r="V271" i="77"/>
  <c r="U271" i="77"/>
  <c r="T271" i="77"/>
  <c r="S271" i="77"/>
  <c r="R271" i="77"/>
  <c r="Q271" i="77"/>
  <c r="P271" i="77"/>
  <c r="O271" i="77"/>
  <c r="N271" i="77"/>
  <c r="M271" i="77"/>
  <c r="L271" i="77"/>
  <c r="K271" i="77"/>
  <c r="J271" i="77"/>
  <c r="I271" i="77"/>
  <c r="H271" i="77"/>
  <c r="G271" i="77"/>
  <c r="F271" i="77"/>
  <c r="E271" i="77"/>
  <c r="D271" i="77"/>
  <c r="C271" i="77"/>
  <c r="B271" i="77"/>
  <c r="A271" i="77"/>
  <c r="AF270" i="77"/>
  <c r="AE270" i="77"/>
  <c r="AD270" i="77"/>
  <c r="AC270" i="77"/>
  <c r="AB270" i="77"/>
  <c r="AA270" i="77"/>
  <c r="Z270" i="77"/>
  <c r="Y270" i="77"/>
  <c r="X270" i="77"/>
  <c r="W270" i="77"/>
  <c r="V270" i="77"/>
  <c r="U270" i="77"/>
  <c r="T270" i="77"/>
  <c r="S270" i="77"/>
  <c r="R270" i="77"/>
  <c r="Q270" i="77"/>
  <c r="P270" i="77"/>
  <c r="O270" i="77"/>
  <c r="N270" i="77"/>
  <c r="M270" i="77"/>
  <c r="L270" i="77"/>
  <c r="K270" i="77"/>
  <c r="J270" i="77"/>
  <c r="I270" i="77"/>
  <c r="H270" i="77"/>
  <c r="G270" i="77"/>
  <c r="F270" i="77"/>
  <c r="E270" i="77"/>
  <c r="D270" i="77"/>
  <c r="C270" i="77"/>
  <c r="B270" i="77"/>
  <c r="AX249" i="77"/>
  <c r="AW249" i="77"/>
  <c r="AV249" i="77"/>
  <c r="AU249" i="77"/>
  <c r="AT249" i="77"/>
  <c r="AS249" i="77"/>
  <c r="AR249" i="77"/>
  <c r="AQ249" i="77"/>
  <c r="AP249" i="77"/>
  <c r="AO249" i="77"/>
  <c r="AN249" i="77"/>
  <c r="AM249" i="77"/>
  <c r="AL249" i="77"/>
  <c r="AK249" i="77"/>
  <c r="AJ249" i="77"/>
  <c r="AI249" i="77"/>
  <c r="AH249" i="77"/>
  <c r="AG249" i="77"/>
  <c r="AF249" i="77"/>
  <c r="AE249" i="77"/>
  <c r="AD249" i="77"/>
  <c r="AC249" i="77"/>
  <c r="AB249" i="77"/>
  <c r="AA249" i="77"/>
  <c r="Z249" i="77"/>
  <c r="Y249" i="77"/>
  <c r="X249" i="77"/>
  <c r="W249" i="77"/>
  <c r="V249" i="77"/>
  <c r="U249" i="77"/>
  <c r="T249" i="77"/>
  <c r="S245" i="77"/>
  <c r="C244" i="77"/>
  <c r="B244" i="77"/>
  <c r="AG235" i="77"/>
  <c r="AF235" i="77"/>
  <c r="AE235" i="77"/>
  <c r="AD235" i="77"/>
  <c r="AC235" i="77"/>
  <c r="AB235" i="77"/>
  <c r="AA235" i="77"/>
  <c r="Z235" i="77"/>
  <c r="Y235" i="77"/>
  <c r="X235" i="77"/>
  <c r="W235" i="77"/>
  <c r="V235" i="77"/>
  <c r="U235" i="77"/>
  <c r="T235" i="77"/>
  <c r="S235" i="77"/>
  <c r="R235" i="77"/>
  <c r="Q235" i="77"/>
  <c r="H235" i="77"/>
  <c r="G235" i="77"/>
  <c r="F235" i="77"/>
  <c r="E235" i="77"/>
  <c r="D235" i="77"/>
  <c r="C235" i="77"/>
  <c r="B235" i="77"/>
  <c r="P234" i="77"/>
  <c r="O234" i="77"/>
  <c r="N234" i="77"/>
  <c r="M234" i="77"/>
  <c r="L234" i="77"/>
  <c r="K234" i="77"/>
  <c r="J234" i="77"/>
  <c r="I234" i="77"/>
  <c r="H234" i="77"/>
  <c r="G234" i="77"/>
  <c r="F234" i="77"/>
  <c r="E234" i="77"/>
  <c r="D234" i="77"/>
  <c r="B234" i="77"/>
  <c r="P233" i="77"/>
  <c r="O233" i="77"/>
  <c r="N233" i="77"/>
  <c r="M233" i="77"/>
  <c r="L233" i="77"/>
  <c r="K233" i="77"/>
  <c r="J233" i="77"/>
  <c r="I233" i="77"/>
  <c r="H233" i="77"/>
  <c r="G233" i="77"/>
  <c r="F233" i="77"/>
  <c r="E233" i="77"/>
  <c r="D233" i="77"/>
  <c r="B233" i="77"/>
  <c r="P232" i="77"/>
  <c r="O232" i="77"/>
  <c r="N232" i="77"/>
  <c r="M232" i="77"/>
  <c r="L232" i="77"/>
  <c r="K232" i="77"/>
  <c r="J232" i="77"/>
  <c r="I232" i="77"/>
  <c r="H232" i="77"/>
  <c r="G232" i="77"/>
  <c r="F232" i="77"/>
  <c r="E232" i="77"/>
  <c r="D232" i="77"/>
  <c r="B232" i="77"/>
  <c r="H231" i="77"/>
  <c r="G231" i="77"/>
  <c r="F231" i="77"/>
  <c r="E231" i="77"/>
  <c r="D231" i="77"/>
  <c r="B231" i="77"/>
  <c r="P230" i="77"/>
  <c r="O230" i="77"/>
  <c r="N230" i="77"/>
  <c r="M230" i="77"/>
  <c r="L230" i="77"/>
  <c r="K230" i="77"/>
  <c r="J230" i="77"/>
  <c r="I230" i="77"/>
  <c r="H230" i="77"/>
  <c r="G230" i="77"/>
  <c r="F230" i="77"/>
  <c r="E230" i="77"/>
  <c r="D230" i="77"/>
  <c r="B230" i="77"/>
  <c r="P229" i="77"/>
  <c r="O229" i="77"/>
  <c r="N229" i="77"/>
  <c r="M229" i="77"/>
  <c r="L229" i="77"/>
  <c r="K229" i="77"/>
  <c r="J229" i="77"/>
  <c r="I229" i="77"/>
  <c r="H229" i="77"/>
  <c r="G229" i="77"/>
  <c r="F229" i="77"/>
  <c r="E229" i="77"/>
  <c r="D229" i="77"/>
  <c r="B229" i="77"/>
  <c r="AG227" i="77"/>
  <c r="AF227" i="77"/>
  <c r="AE227" i="77"/>
  <c r="AD227" i="77"/>
  <c r="AC227" i="77"/>
  <c r="AB227" i="77"/>
  <c r="AA227" i="77"/>
  <c r="Z227" i="77"/>
  <c r="Y227" i="77"/>
  <c r="X227" i="77"/>
  <c r="W227" i="77"/>
  <c r="V227" i="77"/>
  <c r="U227" i="77"/>
  <c r="T227" i="77"/>
  <c r="S227" i="77"/>
  <c r="R227" i="77"/>
  <c r="Q227" i="77"/>
  <c r="P227" i="77"/>
  <c r="O227" i="77"/>
  <c r="N227" i="77"/>
  <c r="M227" i="77"/>
  <c r="L227" i="77"/>
  <c r="K227" i="77"/>
  <c r="J227" i="77"/>
  <c r="I227" i="77"/>
  <c r="H227" i="77"/>
  <c r="G227" i="77"/>
  <c r="F227" i="77"/>
  <c r="E227" i="77"/>
  <c r="D227" i="77"/>
  <c r="C227" i="77"/>
  <c r="B227" i="77"/>
  <c r="AI120" i="77"/>
  <c r="AH120" i="77"/>
  <c r="AI119" i="77"/>
  <c r="AH119" i="77"/>
  <c r="AI118" i="77"/>
  <c r="AH118" i="77"/>
  <c r="AI117" i="77"/>
  <c r="AH117" i="77"/>
  <c r="AI116" i="77"/>
  <c r="AH116" i="77"/>
  <c r="AI115" i="77"/>
  <c r="AH115" i="77"/>
  <c r="AI114" i="77"/>
  <c r="AH114" i="77"/>
  <c r="AI113" i="77"/>
  <c r="AH113" i="77"/>
  <c r="AF113" i="77"/>
  <c r="AE113" i="77"/>
  <c r="AD113" i="77"/>
  <c r="AC113" i="77"/>
  <c r="W113" i="77"/>
  <c r="V113" i="77"/>
  <c r="AI112" i="77"/>
  <c r="AH112" i="77"/>
  <c r="AI111" i="77"/>
  <c r="AH111" i="77"/>
  <c r="AI110" i="77"/>
  <c r="AH110" i="77"/>
  <c r="AC110" i="77"/>
  <c r="AB110" i="77"/>
  <c r="AA110" i="77"/>
  <c r="Z110" i="77"/>
  <c r="Y110" i="77"/>
  <c r="X110" i="77"/>
  <c r="W110" i="77"/>
  <c r="V110" i="77"/>
  <c r="U110" i="77"/>
  <c r="T110" i="77"/>
  <c r="S110" i="77"/>
  <c r="R110" i="77"/>
  <c r="Q110" i="77"/>
  <c r="O110" i="77"/>
  <c r="N110" i="77"/>
  <c r="M110" i="77"/>
  <c r="L110" i="77"/>
  <c r="K110" i="77"/>
  <c r="J110" i="77"/>
  <c r="I110" i="77"/>
  <c r="H110" i="77"/>
  <c r="G110" i="77"/>
  <c r="F110" i="77"/>
  <c r="E110" i="77"/>
  <c r="AI109" i="77"/>
  <c r="AH109" i="77"/>
  <c r="AI108" i="77"/>
  <c r="AH108" i="77"/>
  <c r="AI107" i="77"/>
  <c r="AH107" i="77"/>
  <c r="AI106" i="77"/>
  <c r="AH106" i="77"/>
  <c r="AI105" i="77"/>
  <c r="AH105" i="77"/>
  <c r="AI104" i="77"/>
  <c r="AH104" i="77"/>
  <c r="AI103" i="77"/>
  <c r="AH103" i="77"/>
  <c r="AI102" i="77"/>
  <c r="AH102" i="77"/>
  <c r="AI101" i="77"/>
  <c r="AH101" i="77"/>
  <c r="AI100" i="77"/>
  <c r="AH100" i="77"/>
  <c r="AF100" i="77"/>
  <c r="AE100" i="77"/>
  <c r="AD100" i="77"/>
  <c r="AC100" i="77"/>
  <c r="AB100" i="77"/>
  <c r="AA100" i="77"/>
  <c r="Z100" i="77"/>
  <c r="Y100" i="77"/>
  <c r="X100" i="77"/>
  <c r="W100" i="77"/>
  <c r="V100" i="77"/>
  <c r="U100" i="77"/>
  <c r="T100" i="77"/>
  <c r="S100" i="77"/>
  <c r="R100" i="77"/>
  <c r="Q100" i="77"/>
  <c r="P100" i="77"/>
  <c r="O100" i="77"/>
  <c r="N100" i="77"/>
  <c r="M100" i="77"/>
  <c r="L100" i="77"/>
  <c r="K100" i="77"/>
  <c r="J100" i="77"/>
  <c r="I100" i="77"/>
  <c r="H100" i="77"/>
  <c r="G100" i="77"/>
  <c r="F100" i="77"/>
  <c r="E100" i="77"/>
  <c r="AI99" i="77"/>
  <c r="AH99" i="77"/>
  <c r="AF99" i="77"/>
  <c r="AE99" i="77"/>
  <c r="AD99" i="77"/>
  <c r="AC99" i="77"/>
  <c r="AB99" i="77"/>
  <c r="AA99" i="77"/>
  <c r="Z99" i="77"/>
  <c r="Y99" i="77"/>
  <c r="X99" i="77"/>
  <c r="W99" i="77"/>
  <c r="V99" i="77"/>
  <c r="U99" i="77"/>
  <c r="T99" i="77"/>
  <c r="S99" i="77"/>
  <c r="R99" i="77"/>
  <c r="Q99" i="77"/>
  <c r="P99" i="77"/>
  <c r="O99" i="77"/>
  <c r="N99" i="77"/>
  <c r="M99" i="77"/>
  <c r="L99" i="77"/>
  <c r="K99" i="77"/>
  <c r="J99" i="77"/>
  <c r="I99" i="77"/>
  <c r="H99" i="77"/>
  <c r="G99" i="77"/>
  <c r="F99" i="77"/>
  <c r="E99" i="77"/>
  <c r="AI98" i="77"/>
  <c r="AH98" i="77"/>
  <c r="AI97" i="77"/>
  <c r="AH97" i="77"/>
  <c r="AI96" i="77"/>
  <c r="AH96" i="77"/>
  <c r="AI95" i="77"/>
  <c r="AH95" i="77"/>
  <c r="AI94" i="77"/>
  <c r="AH94" i="77"/>
  <c r="AI93" i="77"/>
  <c r="AH93" i="77"/>
  <c r="AI92" i="77"/>
  <c r="AH92" i="77"/>
  <c r="AF92" i="77"/>
  <c r="AE92" i="77"/>
  <c r="AD92" i="77"/>
  <c r="AC92" i="77"/>
  <c r="AB92" i="77"/>
  <c r="AA92" i="77"/>
  <c r="Z92" i="77"/>
  <c r="Y92" i="77"/>
  <c r="X92" i="77"/>
  <c r="W92" i="77"/>
  <c r="V92" i="77"/>
  <c r="U92" i="77"/>
  <c r="T92" i="77"/>
  <c r="S92" i="77"/>
  <c r="R92" i="77"/>
  <c r="Q92" i="77"/>
  <c r="P92" i="77"/>
  <c r="O92" i="77"/>
  <c r="N92" i="77"/>
  <c r="M92" i="77"/>
  <c r="L92" i="77"/>
  <c r="K92" i="77"/>
  <c r="J92" i="77"/>
  <c r="I92" i="77"/>
  <c r="H92" i="77"/>
  <c r="G92" i="77"/>
  <c r="F92" i="77"/>
  <c r="E92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91" i="77"/>
  <c r="AI90" i="77"/>
  <c r="AH90" i="77"/>
  <c r="AI89" i="77"/>
  <c r="AH89" i="77"/>
  <c r="AG89" i="77"/>
  <c r="AF89" i="77"/>
  <c r="AE89" i="77"/>
  <c r="AD89" i="77"/>
  <c r="AC89" i="77"/>
  <c r="AB89" i="77"/>
  <c r="AA89" i="77"/>
  <c r="Z89" i="77"/>
  <c r="Y89" i="77"/>
  <c r="X89" i="77"/>
  <c r="W89" i="77"/>
  <c r="V89" i="77"/>
  <c r="U89" i="77"/>
  <c r="T89" i="77"/>
  <c r="S89" i="77"/>
  <c r="R89" i="77"/>
  <c r="Q89" i="77"/>
  <c r="P89" i="77"/>
  <c r="O89" i="77"/>
  <c r="N89" i="77"/>
  <c r="M89" i="77"/>
  <c r="L89" i="77"/>
  <c r="K89" i="77"/>
  <c r="J89" i="77"/>
  <c r="I89" i="77"/>
  <c r="H89" i="77"/>
  <c r="G89" i="77"/>
  <c r="F89" i="77"/>
  <c r="E89" i="77"/>
  <c r="D89" i="77"/>
  <c r="C89" i="77"/>
  <c r="B89" i="77"/>
  <c r="AI88" i="77"/>
  <c r="AH88" i="77"/>
  <c r="AG88" i="77"/>
  <c r="AI87" i="77"/>
  <c r="AH87" i="77"/>
  <c r="AI86" i="77"/>
  <c r="AH86" i="77"/>
  <c r="AI85" i="77"/>
  <c r="AH85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AI83" i="77"/>
  <c r="AH83" i="77"/>
  <c r="AI82" i="77"/>
  <c r="AH82" i="77"/>
  <c r="AI81" i="77"/>
  <c r="AH81" i="77"/>
  <c r="AI80" i="77"/>
  <c r="AH80" i="77"/>
  <c r="AI79" i="77"/>
  <c r="AH79" i="77"/>
  <c r="AI78" i="77"/>
  <c r="AH78" i="77"/>
  <c r="AI77" i="77"/>
  <c r="AH77" i="77"/>
  <c r="AI76" i="77"/>
  <c r="AH76" i="77"/>
  <c r="AI75" i="77"/>
  <c r="AH75" i="77"/>
  <c r="AI74" i="77"/>
  <c r="AH74" i="77"/>
  <c r="AI73" i="77"/>
  <c r="AH73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AI71" i="77"/>
  <c r="AH71" i="77"/>
  <c r="AI70" i="77"/>
  <c r="AH70" i="77"/>
  <c r="AI69" i="77"/>
  <c r="AH69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C68" i="77"/>
  <c r="B68" i="77"/>
  <c r="AI67" i="77"/>
  <c r="AH67" i="77"/>
  <c r="AG67" i="77"/>
  <c r="AI66" i="77"/>
  <c r="AH66" i="77"/>
  <c r="AI65" i="77"/>
  <c r="AH65" i="77"/>
  <c r="AI64" i="77"/>
  <c r="AH64" i="77"/>
  <c r="AI63" i="77"/>
  <c r="AH63" i="77"/>
  <c r="AI62" i="77"/>
  <c r="AH62" i="77"/>
  <c r="AI61" i="77"/>
  <c r="AH61" i="77"/>
  <c r="AI60" i="77"/>
  <c r="AH60" i="77"/>
  <c r="AI59" i="77"/>
  <c r="AH59" i="77"/>
  <c r="AI58" i="77"/>
  <c r="AH58" i="77"/>
  <c r="AI57" i="77"/>
  <c r="AH57" i="77"/>
  <c r="AI56" i="77"/>
  <c r="AH56" i="77"/>
  <c r="AI55" i="77"/>
  <c r="AH55" i="77"/>
  <c r="AI54" i="77"/>
  <c r="AH54" i="77"/>
  <c r="AG54" i="77"/>
  <c r="AF54" i="77"/>
  <c r="AE54" i="77"/>
  <c r="AD54" i="77"/>
  <c r="AC54" i="77"/>
  <c r="AB54" i="77"/>
  <c r="AA54" i="77"/>
  <c r="Z54" i="77"/>
  <c r="Y54" i="77"/>
  <c r="X54" i="77"/>
  <c r="W54" i="77"/>
  <c r="V54" i="77"/>
  <c r="U54" i="77"/>
  <c r="T54" i="77"/>
  <c r="S54" i="77"/>
  <c r="R54" i="77"/>
  <c r="Q54" i="77"/>
  <c r="P54" i="77"/>
  <c r="O54" i="77"/>
  <c r="N54" i="77"/>
  <c r="M54" i="77"/>
  <c r="L54" i="77"/>
  <c r="K54" i="77"/>
  <c r="J54" i="77"/>
  <c r="I54" i="77"/>
  <c r="H54" i="77"/>
  <c r="G54" i="77"/>
  <c r="F54" i="77"/>
  <c r="E54" i="77"/>
  <c r="AI53" i="77"/>
  <c r="AH53" i="77"/>
  <c r="AI52" i="77"/>
  <c r="AH52" i="77"/>
  <c r="AI51" i="77"/>
  <c r="AH51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AI49" i="77"/>
  <c r="AH49" i="77"/>
  <c r="AF49" i="77"/>
  <c r="AE49" i="77"/>
  <c r="AD49" i="77"/>
  <c r="AC49" i="77"/>
  <c r="W49" i="77"/>
  <c r="V49" i="77"/>
  <c r="P49" i="77"/>
  <c r="O49" i="77"/>
  <c r="N49" i="77"/>
  <c r="M49" i="77"/>
  <c r="AI48" i="77"/>
  <c r="AH48" i="77"/>
  <c r="AI47" i="77"/>
  <c r="AH47" i="77"/>
  <c r="AI46" i="77"/>
  <c r="AH46" i="77"/>
  <c r="AI45" i="77"/>
  <c r="AH45" i="77"/>
  <c r="AI44" i="77"/>
  <c r="AH44" i="77"/>
  <c r="AI43" i="77"/>
  <c r="AH43" i="77"/>
  <c r="AI42" i="77"/>
  <c r="AH42" i="77"/>
  <c r="AI41" i="77"/>
  <c r="AH41" i="77"/>
  <c r="AI40" i="77"/>
  <c r="AH40" i="77"/>
  <c r="AI39" i="77"/>
  <c r="AH39" i="77"/>
  <c r="AI38" i="77"/>
  <c r="AH38" i="77"/>
  <c r="AI37" i="77"/>
  <c r="AH37" i="77"/>
  <c r="AI36" i="77"/>
  <c r="AH36" i="77"/>
  <c r="AI35" i="77"/>
  <c r="AH35" i="77"/>
  <c r="AI34" i="77"/>
  <c r="AH34" i="77"/>
  <c r="AI33" i="77"/>
  <c r="AH33" i="77"/>
  <c r="AI32" i="77"/>
  <c r="AH32" i="77"/>
  <c r="AI31" i="77"/>
  <c r="AH31" i="77"/>
  <c r="AI30" i="77"/>
  <c r="AH30" i="77"/>
  <c r="AI29" i="77"/>
  <c r="AH29" i="77"/>
  <c r="AI28" i="77"/>
  <c r="AH28" i="77"/>
  <c r="AI27" i="77"/>
  <c r="AH27" i="77"/>
  <c r="AI26" i="77"/>
  <c r="AH26" i="77"/>
  <c r="AI25" i="77"/>
  <c r="AH25" i="77"/>
  <c r="AI24" i="77"/>
  <c r="AH24" i="77"/>
  <c r="AI23" i="77"/>
  <c r="AH23" i="77"/>
  <c r="AF23" i="77"/>
  <c r="AE23" i="77"/>
  <c r="AI22" i="77"/>
  <c r="AH22" i="77"/>
  <c r="AI21" i="77"/>
  <c r="AH21" i="77"/>
  <c r="AI20" i="77"/>
  <c r="AH20" i="77"/>
  <c r="AI19" i="77"/>
  <c r="AH19" i="77"/>
  <c r="AI18" i="77"/>
  <c r="AH18" i="77"/>
  <c r="AI17" i="77"/>
  <c r="AH17" i="77"/>
  <c r="AI16" i="77"/>
  <c r="AH16" i="77"/>
  <c r="AI15" i="77"/>
  <c r="AH15" i="77"/>
  <c r="AI14" i="77"/>
  <c r="AH14" i="77"/>
  <c r="AI13" i="77"/>
  <c r="AH13" i="77"/>
  <c r="AI12" i="77"/>
  <c r="AH12" i="77"/>
  <c r="AI11" i="77"/>
  <c r="AH11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C7" i="77"/>
  <c r="B7" i="77"/>
  <c r="A7" i="77"/>
  <c r="AG6" i="77"/>
  <c r="K6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C5" i="77"/>
  <c r="B5" i="77"/>
  <c r="AG4" i="77"/>
  <c r="K4" i="77"/>
  <c r="E4" i="77"/>
  <c r="H4" i="77" s="1"/>
  <c r="B4" i="77"/>
  <c r="S246" i="77" s="1"/>
  <c r="AG3" i="77"/>
  <c r="AG2" i="77"/>
  <c r="AF274" i="76"/>
  <c r="AE274" i="76"/>
  <c r="AD274" i="76"/>
  <c r="AC274" i="76"/>
  <c r="AB274" i="76"/>
  <c r="AA274" i="76"/>
  <c r="Z274" i="76"/>
  <c r="Y274" i="76"/>
  <c r="X274" i="76"/>
  <c r="W274" i="76"/>
  <c r="V274" i="76"/>
  <c r="U274" i="76"/>
  <c r="T274" i="76"/>
  <c r="S274" i="76"/>
  <c r="R274" i="76"/>
  <c r="Q274" i="76"/>
  <c r="P274" i="76"/>
  <c r="O274" i="76"/>
  <c r="N274" i="76"/>
  <c r="M274" i="76"/>
  <c r="L274" i="76"/>
  <c r="K274" i="76"/>
  <c r="J274" i="76"/>
  <c r="I274" i="76"/>
  <c r="H274" i="76"/>
  <c r="G274" i="76"/>
  <c r="F274" i="76"/>
  <c r="E274" i="76"/>
  <c r="D274" i="76"/>
  <c r="C274" i="76"/>
  <c r="B274" i="76"/>
  <c r="A274" i="76"/>
  <c r="AF273" i="76"/>
  <c r="AE273" i="76"/>
  <c r="AD273" i="76"/>
  <c r="AC273" i="76"/>
  <c r="AB273" i="76"/>
  <c r="AA273" i="76"/>
  <c r="Z273" i="76"/>
  <c r="Y273" i="76"/>
  <c r="X273" i="76"/>
  <c r="W273" i="76"/>
  <c r="V273" i="76"/>
  <c r="U273" i="76"/>
  <c r="T273" i="76"/>
  <c r="S273" i="76"/>
  <c r="R273" i="76"/>
  <c r="Q273" i="76"/>
  <c r="P273" i="76"/>
  <c r="O273" i="76"/>
  <c r="N273" i="76"/>
  <c r="M273" i="76"/>
  <c r="L273" i="76"/>
  <c r="K273" i="76"/>
  <c r="J273" i="76"/>
  <c r="I273" i="76"/>
  <c r="H273" i="76"/>
  <c r="G273" i="76"/>
  <c r="F273" i="76"/>
  <c r="E273" i="76"/>
  <c r="D273" i="76"/>
  <c r="C273" i="76"/>
  <c r="B273" i="76"/>
  <c r="A273" i="76"/>
  <c r="AF272" i="76"/>
  <c r="AE272" i="76"/>
  <c r="AD272" i="76"/>
  <c r="AC272" i="76"/>
  <c r="AB272" i="76"/>
  <c r="AA272" i="76"/>
  <c r="Z272" i="76"/>
  <c r="Y272" i="76"/>
  <c r="X272" i="76"/>
  <c r="W272" i="76"/>
  <c r="V272" i="76"/>
  <c r="U272" i="76"/>
  <c r="T272" i="76"/>
  <c r="S272" i="76"/>
  <c r="R272" i="76"/>
  <c r="Q272" i="76"/>
  <c r="P272" i="76"/>
  <c r="O272" i="76"/>
  <c r="N272" i="76"/>
  <c r="M272" i="76"/>
  <c r="L272" i="76"/>
  <c r="K272" i="76"/>
  <c r="J272" i="76"/>
  <c r="I272" i="76"/>
  <c r="H272" i="76"/>
  <c r="G272" i="76"/>
  <c r="F272" i="76"/>
  <c r="E272" i="76"/>
  <c r="D272" i="76"/>
  <c r="C272" i="76"/>
  <c r="B272" i="76"/>
  <c r="A272" i="76"/>
  <c r="AF271" i="76"/>
  <c r="AE271" i="76"/>
  <c r="AD271" i="76"/>
  <c r="AC271" i="76"/>
  <c r="AB271" i="76"/>
  <c r="AA271" i="76"/>
  <c r="Z271" i="76"/>
  <c r="Y271" i="76"/>
  <c r="X271" i="76"/>
  <c r="W271" i="76"/>
  <c r="V271" i="76"/>
  <c r="U271" i="76"/>
  <c r="T271" i="76"/>
  <c r="S271" i="76"/>
  <c r="R271" i="76"/>
  <c r="Q271" i="76"/>
  <c r="P271" i="76"/>
  <c r="O271" i="76"/>
  <c r="N271" i="76"/>
  <c r="M271" i="76"/>
  <c r="L271" i="76"/>
  <c r="K271" i="76"/>
  <c r="J271" i="76"/>
  <c r="I271" i="76"/>
  <c r="H271" i="76"/>
  <c r="G271" i="76"/>
  <c r="F271" i="76"/>
  <c r="E271" i="76"/>
  <c r="D271" i="76"/>
  <c r="C271" i="76"/>
  <c r="B271" i="76"/>
  <c r="A271" i="76"/>
  <c r="AF270" i="76"/>
  <c r="AE270" i="76"/>
  <c r="AD270" i="76"/>
  <c r="AC270" i="76"/>
  <c r="AB270" i="76"/>
  <c r="AA270" i="76"/>
  <c r="Z270" i="76"/>
  <c r="Y270" i="76"/>
  <c r="X270" i="76"/>
  <c r="W270" i="76"/>
  <c r="V270" i="76"/>
  <c r="U270" i="76"/>
  <c r="T270" i="76"/>
  <c r="S270" i="76"/>
  <c r="R270" i="76"/>
  <c r="Q270" i="76"/>
  <c r="P270" i="76"/>
  <c r="O270" i="76"/>
  <c r="N270" i="76"/>
  <c r="M270" i="76"/>
  <c r="L270" i="76"/>
  <c r="K270" i="76"/>
  <c r="J270" i="76"/>
  <c r="I270" i="76"/>
  <c r="H270" i="76"/>
  <c r="G270" i="76"/>
  <c r="F270" i="76"/>
  <c r="E270" i="76"/>
  <c r="D270" i="76"/>
  <c r="C270" i="76"/>
  <c r="B270" i="76"/>
  <c r="AX249" i="76"/>
  <c r="AW249" i="76"/>
  <c r="AV249" i="76"/>
  <c r="AU249" i="76"/>
  <c r="AT249" i="76"/>
  <c r="AS249" i="76"/>
  <c r="AR249" i="76"/>
  <c r="AQ249" i="76"/>
  <c r="AP249" i="76"/>
  <c r="AO249" i="76"/>
  <c r="AN249" i="76"/>
  <c r="AM249" i="76"/>
  <c r="AL249" i="76"/>
  <c r="AK249" i="76"/>
  <c r="AJ249" i="76"/>
  <c r="AI249" i="76"/>
  <c r="AH249" i="76"/>
  <c r="AG249" i="76"/>
  <c r="AF249" i="76"/>
  <c r="AE249" i="76"/>
  <c r="AD249" i="76"/>
  <c r="AC249" i="76"/>
  <c r="AB249" i="76"/>
  <c r="AA249" i="76"/>
  <c r="Z249" i="76"/>
  <c r="Y249" i="76"/>
  <c r="X249" i="76"/>
  <c r="W249" i="76"/>
  <c r="V249" i="76"/>
  <c r="U249" i="76"/>
  <c r="T249" i="76"/>
  <c r="S245" i="76"/>
  <c r="C244" i="76"/>
  <c r="B244" i="76"/>
  <c r="AG235" i="76"/>
  <c r="AF235" i="76"/>
  <c r="AE235" i="76"/>
  <c r="AD235" i="76"/>
  <c r="AC235" i="76"/>
  <c r="AB235" i="76"/>
  <c r="AA235" i="76"/>
  <c r="Z235" i="76"/>
  <c r="Y235" i="76"/>
  <c r="X235" i="76"/>
  <c r="W235" i="76"/>
  <c r="V235" i="76"/>
  <c r="U235" i="76"/>
  <c r="T235" i="76"/>
  <c r="S235" i="76"/>
  <c r="R235" i="76"/>
  <c r="Q235" i="76"/>
  <c r="H235" i="76"/>
  <c r="G235" i="76"/>
  <c r="F235" i="76"/>
  <c r="E235" i="76"/>
  <c r="D235" i="76"/>
  <c r="C235" i="76"/>
  <c r="B235" i="76"/>
  <c r="P234" i="76"/>
  <c r="O234" i="76"/>
  <c r="N234" i="76"/>
  <c r="M234" i="76"/>
  <c r="L234" i="76"/>
  <c r="K234" i="76"/>
  <c r="J234" i="76"/>
  <c r="I234" i="76"/>
  <c r="H234" i="76"/>
  <c r="G234" i="76"/>
  <c r="F234" i="76"/>
  <c r="E234" i="76"/>
  <c r="D234" i="76"/>
  <c r="B234" i="76"/>
  <c r="P233" i="76"/>
  <c r="O233" i="76"/>
  <c r="N233" i="76"/>
  <c r="M233" i="76"/>
  <c r="L233" i="76"/>
  <c r="K233" i="76"/>
  <c r="J233" i="76"/>
  <c r="I233" i="76"/>
  <c r="H233" i="76"/>
  <c r="G233" i="76"/>
  <c r="F233" i="76"/>
  <c r="E233" i="76"/>
  <c r="D233" i="76"/>
  <c r="B233" i="76"/>
  <c r="P232" i="76"/>
  <c r="O232" i="76"/>
  <c r="N232" i="76"/>
  <c r="M232" i="76"/>
  <c r="L232" i="76"/>
  <c r="K232" i="76"/>
  <c r="J232" i="76"/>
  <c r="I232" i="76"/>
  <c r="H232" i="76"/>
  <c r="G232" i="76"/>
  <c r="F232" i="76"/>
  <c r="E232" i="76"/>
  <c r="D232" i="76"/>
  <c r="B232" i="76"/>
  <c r="H231" i="76"/>
  <c r="G231" i="76"/>
  <c r="F231" i="76"/>
  <c r="E231" i="76"/>
  <c r="D231" i="76"/>
  <c r="B231" i="76"/>
  <c r="P230" i="76"/>
  <c r="O230" i="76"/>
  <c r="N230" i="76"/>
  <c r="M230" i="76"/>
  <c r="L230" i="76"/>
  <c r="K230" i="76"/>
  <c r="J230" i="76"/>
  <c r="I230" i="76"/>
  <c r="H230" i="76"/>
  <c r="G230" i="76"/>
  <c r="F230" i="76"/>
  <c r="E230" i="76"/>
  <c r="D230" i="76"/>
  <c r="B230" i="76"/>
  <c r="P229" i="76"/>
  <c r="O229" i="76"/>
  <c r="N229" i="76"/>
  <c r="M229" i="76"/>
  <c r="L229" i="76"/>
  <c r="K229" i="76"/>
  <c r="J229" i="76"/>
  <c r="I229" i="76"/>
  <c r="H229" i="76"/>
  <c r="G229" i="76"/>
  <c r="F229" i="76"/>
  <c r="E229" i="76"/>
  <c r="D229" i="76"/>
  <c r="B229" i="76"/>
  <c r="AG227" i="76"/>
  <c r="AF227" i="76"/>
  <c r="AE227" i="76"/>
  <c r="AD227" i="76"/>
  <c r="AC227" i="76"/>
  <c r="AB227" i="76"/>
  <c r="AA227" i="76"/>
  <c r="Z227" i="76"/>
  <c r="Y227" i="76"/>
  <c r="X227" i="76"/>
  <c r="W227" i="76"/>
  <c r="V227" i="76"/>
  <c r="U227" i="76"/>
  <c r="T227" i="76"/>
  <c r="S227" i="76"/>
  <c r="R227" i="76"/>
  <c r="Q227" i="76"/>
  <c r="P227" i="76"/>
  <c r="O227" i="76"/>
  <c r="N227" i="76"/>
  <c r="M227" i="76"/>
  <c r="L227" i="76"/>
  <c r="K227" i="76"/>
  <c r="J227" i="76"/>
  <c r="I227" i="76"/>
  <c r="H227" i="76"/>
  <c r="G227" i="76"/>
  <c r="F227" i="76"/>
  <c r="E227" i="76"/>
  <c r="D227" i="76"/>
  <c r="C227" i="76"/>
  <c r="B227" i="76"/>
  <c r="AI120" i="76"/>
  <c r="AH120" i="76"/>
  <c r="AI119" i="76"/>
  <c r="AH119" i="76"/>
  <c r="AI118" i="76"/>
  <c r="AH118" i="76"/>
  <c r="AI117" i="76"/>
  <c r="AH117" i="76"/>
  <c r="AI116" i="76"/>
  <c r="AH116" i="76"/>
  <c r="AI115" i="76"/>
  <c r="AH115" i="76"/>
  <c r="AI114" i="76"/>
  <c r="AH114" i="76"/>
  <c r="AI113" i="76"/>
  <c r="AH113" i="76"/>
  <c r="U113" i="76"/>
  <c r="S113" i="76"/>
  <c r="R113" i="76"/>
  <c r="Q113" i="76"/>
  <c r="P113" i="76"/>
  <c r="O113" i="76"/>
  <c r="N113" i="76"/>
  <c r="M113" i="76"/>
  <c r="AI112" i="76"/>
  <c r="AH112" i="76"/>
  <c r="AI111" i="76"/>
  <c r="AH111" i="76"/>
  <c r="AI110" i="76"/>
  <c r="AH110" i="76"/>
  <c r="AF110" i="76"/>
  <c r="AE110" i="76"/>
  <c r="AD110" i="76"/>
  <c r="AC110" i="76"/>
  <c r="AB110" i="76"/>
  <c r="AA110" i="76"/>
  <c r="Z110" i="76"/>
  <c r="Y110" i="76"/>
  <c r="X110" i="76"/>
  <c r="W110" i="76"/>
  <c r="V110" i="76"/>
  <c r="U110" i="76"/>
  <c r="T110" i="76"/>
  <c r="S110" i="76"/>
  <c r="R110" i="76"/>
  <c r="Q110" i="76"/>
  <c r="O110" i="76"/>
  <c r="N110" i="76"/>
  <c r="M110" i="76"/>
  <c r="L110" i="76"/>
  <c r="K110" i="76"/>
  <c r="J110" i="76"/>
  <c r="I110" i="76"/>
  <c r="H110" i="76"/>
  <c r="G110" i="76"/>
  <c r="F110" i="76"/>
  <c r="E110" i="76"/>
  <c r="D110" i="76"/>
  <c r="C110" i="76"/>
  <c r="B110" i="76"/>
  <c r="AI109" i="76"/>
  <c r="AH109" i="76"/>
  <c r="AI108" i="76"/>
  <c r="AH108" i="76"/>
  <c r="AI107" i="76"/>
  <c r="AH107" i="76"/>
  <c r="AI106" i="76"/>
  <c r="AH106" i="76"/>
  <c r="AI105" i="76"/>
  <c r="AH105" i="76"/>
  <c r="AI104" i="76"/>
  <c r="AH104" i="76"/>
  <c r="AI103" i="76"/>
  <c r="AH103" i="76"/>
  <c r="AI102" i="76"/>
  <c r="AH102" i="76"/>
  <c r="AI101" i="76"/>
  <c r="AH101" i="76"/>
  <c r="AI100" i="76"/>
  <c r="AH100" i="76"/>
  <c r="AF100" i="76"/>
  <c r="AE100" i="76"/>
  <c r="AD100" i="76"/>
  <c r="AC100" i="76"/>
  <c r="AB100" i="76"/>
  <c r="AA100" i="76"/>
  <c r="Z100" i="76"/>
  <c r="Y100" i="76"/>
  <c r="X100" i="76"/>
  <c r="W100" i="76"/>
  <c r="V100" i="76"/>
  <c r="U100" i="76"/>
  <c r="T100" i="76"/>
  <c r="S100" i="76"/>
  <c r="R100" i="76"/>
  <c r="Q100" i="76"/>
  <c r="P100" i="76"/>
  <c r="O100" i="76"/>
  <c r="N100" i="76"/>
  <c r="M100" i="76"/>
  <c r="L100" i="76"/>
  <c r="K100" i="76"/>
  <c r="J100" i="76"/>
  <c r="I100" i="76"/>
  <c r="H100" i="76"/>
  <c r="G100" i="76"/>
  <c r="F100" i="76"/>
  <c r="E100" i="76"/>
  <c r="D100" i="76"/>
  <c r="C100" i="76"/>
  <c r="B100" i="76"/>
  <c r="AI99" i="76"/>
  <c r="AH99" i="76"/>
  <c r="AF99" i="76"/>
  <c r="AE99" i="76"/>
  <c r="AD99" i="76"/>
  <c r="AC99" i="76"/>
  <c r="AB99" i="76"/>
  <c r="AA99" i="76"/>
  <c r="Z99" i="76"/>
  <c r="Y99" i="76"/>
  <c r="X99" i="76"/>
  <c r="W99" i="76"/>
  <c r="V99" i="76"/>
  <c r="U99" i="76"/>
  <c r="T99" i="76"/>
  <c r="S99" i="76"/>
  <c r="R99" i="76"/>
  <c r="Q99" i="76"/>
  <c r="P99" i="76"/>
  <c r="O99" i="76"/>
  <c r="N99" i="76"/>
  <c r="M99" i="76"/>
  <c r="L99" i="76"/>
  <c r="K99" i="76"/>
  <c r="J99" i="76"/>
  <c r="I99" i="76"/>
  <c r="H99" i="76"/>
  <c r="G99" i="76"/>
  <c r="F99" i="76"/>
  <c r="E99" i="76"/>
  <c r="D99" i="76"/>
  <c r="C99" i="76"/>
  <c r="B99" i="76"/>
  <c r="AI98" i="76"/>
  <c r="AH98" i="76"/>
  <c r="AI97" i="76"/>
  <c r="AH97" i="76"/>
  <c r="AI96" i="76"/>
  <c r="AH96" i="76"/>
  <c r="AI95" i="76"/>
  <c r="AH95" i="76"/>
  <c r="AI94" i="76"/>
  <c r="AH94" i="76"/>
  <c r="AI93" i="76"/>
  <c r="AH93" i="76"/>
  <c r="AI92" i="76"/>
  <c r="AH92" i="76"/>
  <c r="AF92" i="76"/>
  <c r="AE92" i="76"/>
  <c r="AD92" i="76"/>
  <c r="AC92" i="76"/>
  <c r="AB92" i="76"/>
  <c r="AA92" i="76"/>
  <c r="Z92" i="76"/>
  <c r="Y92" i="76"/>
  <c r="X92" i="76"/>
  <c r="W92" i="76"/>
  <c r="V92" i="76"/>
  <c r="U92" i="76"/>
  <c r="T92" i="76"/>
  <c r="S92" i="76"/>
  <c r="R92" i="76"/>
  <c r="Q92" i="76"/>
  <c r="P92" i="76"/>
  <c r="O92" i="76"/>
  <c r="N92" i="76"/>
  <c r="M92" i="76"/>
  <c r="L92" i="76"/>
  <c r="K92" i="76"/>
  <c r="J92" i="76"/>
  <c r="I92" i="76"/>
  <c r="H92" i="76"/>
  <c r="G92" i="76"/>
  <c r="F92" i="76"/>
  <c r="E92" i="76"/>
  <c r="D92" i="76"/>
  <c r="C92" i="76"/>
  <c r="B92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91" i="76"/>
  <c r="AI90" i="76"/>
  <c r="AH90" i="76"/>
  <c r="AI89" i="76"/>
  <c r="AH89" i="76"/>
  <c r="AG89" i="76"/>
  <c r="AF89" i="76"/>
  <c r="AE89" i="76"/>
  <c r="AD89" i="76"/>
  <c r="AC89" i="76"/>
  <c r="AB89" i="76"/>
  <c r="AA89" i="76"/>
  <c r="Z89" i="76"/>
  <c r="Y89" i="76"/>
  <c r="X89" i="76"/>
  <c r="W89" i="76"/>
  <c r="V89" i="76"/>
  <c r="U89" i="76"/>
  <c r="T89" i="76"/>
  <c r="S89" i="76"/>
  <c r="R89" i="76"/>
  <c r="Q89" i="76"/>
  <c r="P89" i="76"/>
  <c r="O89" i="76"/>
  <c r="N89" i="76"/>
  <c r="M89" i="76"/>
  <c r="L89" i="76"/>
  <c r="K89" i="76"/>
  <c r="J89" i="76"/>
  <c r="I89" i="76"/>
  <c r="H89" i="76"/>
  <c r="G89" i="76"/>
  <c r="F89" i="76"/>
  <c r="E89" i="76"/>
  <c r="D89" i="76"/>
  <c r="C89" i="76"/>
  <c r="B89" i="76"/>
  <c r="AI88" i="76"/>
  <c r="AH88" i="76"/>
  <c r="AG88" i="76"/>
  <c r="AI87" i="76"/>
  <c r="AH87" i="76"/>
  <c r="AI86" i="76"/>
  <c r="AH86" i="76"/>
  <c r="AI85" i="76"/>
  <c r="AH85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C84" i="76"/>
  <c r="B84" i="76"/>
  <c r="AI83" i="76"/>
  <c r="AH83" i="76"/>
  <c r="AI82" i="76"/>
  <c r="AH82" i="76"/>
  <c r="AI81" i="76"/>
  <c r="AH81" i="76"/>
  <c r="AI80" i="76"/>
  <c r="AH80" i="76"/>
  <c r="AI79" i="76"/>
  <c r="AH79" i="76"/>
  <c r="AI78" i="76"/>
  <c r="AH78" i="76"/>
  <c r="AI77" i="76"/>
  <c r="AH77" i="76"/>
  <c r="AI76" i="76"/>
  <c r="AH76" i="76"/>
  <c r="AI75" i="76"/>
  <c r="AH75" i="76"/>
  <c r="AI74" i="76"/>
  <c r="AH74" i="76"/>
  <c r="AI73" i="76"/>
  <c r="AH73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B72" i="76"/>
  <c r="AI71" i="76"/>
  <c r="AH71" i="76"/>
  <c r="AI70" i="76"/>
  <c r="AH70" i="76"/>
  <c r="AI69" i="76"/>
  <c r="AH69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C68" i="76"/>
  <c r="B68" i="76"/>
  <c r="AI67" i="76"/>
  <c r="AH67" i="76"/>
  <c r="AG67" i="76"/>
  <c r="AI66" i="76"/>
  <c r="AH66" i="76"/>
  <c r="AI65" i="76"/>
  <c r="AH65" i="76"/>
  <c r="AI64" i="76"/>
  <c r="AH64" i="76"/>
  <c r="AI63" i="76"/>
  <c r="AH63" i="76"/>
  <c r="AI62" i="76"/>
  <c r="AH62" i="76"/>
  <c r="AI61" i="76"/>
  <c r="AH61" i="76"/>
  <c r="AI60" i="76"/>
  <c r="AH60" i="76"/>
  <c r="AI59" i="76"/>
  <c r="AH59" i="76"/>
  <c r="AI58" i="76"/>
  <c r="AH58" i="76"/>
  <c r="AI57" i="76"/>
  <c r="AH57" i="76"/>
  <c r="AI56" i="76"/>
  <c r="AH56" i="76"/>
  <c r="AI55" i="76"/>
  <c r="AH55" i="76"/>
  <c r="AI54" i="76"/>
  <c r="AH54" i="76"/>
  <c r="AG54" i="76"/>
  <c r="AF54" i="76"/>
  <c r="AE54" i="76"/>
  <c r="AD54" i="76"/>
  <c r="AC54" i="76"/>
  <c r="AB54" i="76"/>
  <c r="AA54" i="76"/>
  <c r="Z54" i="76"/>
  <c r="Y54" i="76"/>
  <c r="X54" i="76"/>
  <c r="W54" i="76"/>
  <c r="V54" i="76"/>
  <c r="U54" i="76"/>
  <c r="T54" i="76"/>
  <c r="S54" i="76"/>
  <c r="R54" i="76"/>
  <c r="Q54" i="76"/>
  <c r="P54" i="76"/>
  <c r="O54" i="76"/>
  <c r="N54" i="76"/>
  <c r="M54" i="76"/>
  <c r="L54" i="76"/>
  <c r="K54" i="76"/>
  <c r="J54" i="76"/>
  <c r="I54" i="76"/>
  <c r="H54" i="76"/>
  <c r="G54" i="76"/>
  <c r="F54" i="76"/>
  <c r="E54" i="76"/>
  <c r="D54" i="76"/>
  <c r="C54" i="76"/>
  <c r="B54" i="76"/>
  <c r="AI53" i="76"/>
  <c r="AH53" i="76"/>
  <c r="AI52" i="76"/>
  <c r="AH52" i="76"/>
  <c r="AI51" i="76"/>
  <c r="AH51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C50" i="76"/>
  <c r="B50" i="76"/>
  <c r="AI49" i="76"/>
  <c r="AH49" i="76"/>
  <c r="U49" i="76"/>
  <c r="T49" i="76"/>
  <c r="S49" i="76"/>
  <c r="R49" i="76"/>
  <c r="Q49" i="76"/>
  <c r="P49" i="76"/>
  <c r="O49" i="76"/>
  <c r="N49" i="76"/>
  <c r="M49" i="76"/>
  <c r="AI48" i="76"/>
  <c r="AH48" i="76"/>
  <c r="AI47" i="76"/>
  <c r="AH47" i="76"/>
  <c r="AI46" i="76"/>
  <c r="AH46" i="76"/>
  <c r="AI45" i="76"/>
  <c r="AH45" i="76"/>
  <c r="AI44" i="76"/>
  <c r="AH44" i="76"/>
  <c r="AI43" i="76"/>
  <c r="AH43" i="76"/>
  <c r="AI42" i="76"/>
  <c r="AH42" i="76"/>
  <c r="AI41" i="76"/>
  <c r="AH41" i="76"/>
  <c r="AI40" i="76"/>
  <c r="AH40" i="76"/>
  <c r="AI39" i="76"/>
  <c r="AH39" i="76"/>
  <c r="AI38" i="76"/>
  <c r="AH38" i="76"/>
  <c r="AI37" i="76"/>
  <c r="AH37" i="76"/>
  <c r="AI36" i="76"/>
  <c r="AH36" i="76"/>
  <c r="AI35" i="76"/>
  <c r="AH35" i="76"/>
  <c r="AI34" i="76"/>
  <c r="AH34" i="76"/>
  <c r="AI33" i="76"/>
  <c r="AH33" i="76"/>
  <c r="AI32" i="76"/>
  <c r="AH32" i="76"/>
  <c r="AI31" i="76"/>
  <c r="AH31" i="76"/>
  <c r="AI30" i="76"/>
  <c r="AH30" i="76"/>
  <c r="AI29" i="76"/>
  <c r="AH29" i="76"/>
  <c r="AI28" i="76"/>
  <c r="AH28" i="76"/>
  <c r="AI27" i="76"/>
  <c r="AH27" i="76"/>
  <c r="AI26" i="76"/>
  <c r="AH26" i="76"/>
  <c r="AI25" i="76"/>
  <c r="AH25" i="76"/>
  <c r="AI24" i="76"/>
  <c r="AH24" i="76"/>
  <c r="AI23" i="76"/>
  <c r="AH23" i="76"/>
  <c r="AI22" i="76"/>
  <c r="AH22" i="76"/>
  <c r="AI21" i="76"/>
  <c r="AH21" i="76"/>
  <c r="AI20" i="76"/>
  <c r="AH20" i="76"/>
  <c r="AI19" i="76"/>
  <c r="AH19" i="76"/>
  <c r="AI18" i="76"/>
  <c r="AH18" i="76"/>
  <c r="AI17" i="76"/>
  <c r="AH17" i="76"/>
  <c r="AI16" i="76"/>
  <c r="AH16" i="76"/>
  <c r="AI15" i="76"/>
  <c r="AH15" i="76"/>
  <c r="AI14" i="76"/>
  <c r="AH14" i="76"/>
  <c r="AI13" i="76"/>
  <c r="AH13" i="76"/>
  <c r="AI12" i="76"/>
  <c r="AH12" i="76"/>
  <c r="AI11" i="76"/>
  <c r="AH11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C7" i="76"/>
  <c r="B7" i="76"/>
  <c r="A7" i="76"/>
  <c r="AG6" i="76"/>
  <c r="K6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C5" i="76"/>
  <c r="B5" i="76"/>
  <c r="AG4" i="76"/>
  <c r="K4" i="76"/>
  <c r="E4" i="76"/>
  <c r="H4" i="76" s="1"/>
  <c r="B4" i="76"/>
  <c r="S246" i="76" s="1"/>
  <c r="AG3" i="76"/>
  <c r="AG2" i="76"/>
  <c r="AF274" i="75"/>
  <c r="AE274" i="75"/>
  <c r="AD274" i="75"/>
  <c r="AC274" i="75"/>
  <c r="AB274" i="75"/>
  <c r="AA274" i="75"/>
  <c r="Z274" i="75"/>
  <c r="Y274" i="75"/>
  <c r="X274" i="75"/>
  <c r="W274" i="75"/>
  <c r="V274" i="75"/>
  <c r="U274" i="75"/>
  <c r="T274" i="75"/>
  <c r="S274" i="75"/>
  <c r="R274" i="75"/>
  <c r="Q274" i="75"/>
  <c r="P274" i="75"/>
  <c r="O274" i="75"/>
  <c r="N274" i="75"/>
  <c r="M274" i="75"/>
  <c r="L274" i="75"/>
  <c r="K274" i="75"/>
  <c r="J274" i="75"/>
  <c r="I274" i="75"/>
  <c r="H274" i="75"/>
  <c r="G274" i="75"/>
  <c r="F274" i="75"/>
  <c r="E274" i="75"/>
  <c r="D274" i="75"/>
  <c r="C274" i="75"/>
  <c r="B274" i="75"/>
  <c r="A274" i="75"/>
  <c r="AF273" i="75"/>
  <c r="AE273" i="75"/>
  <c r="AD273" i="75"/>
  <c r="AC273" i="75"/>
  <c r="AB273" i="75"/>
  <c r="AA273" i="75"/>
  <c r="Z273" i="75"/>
  <c r="Y273" i="75"/>
  <c r="X273" i="75"/>
  <c r="W273" i="75"/>
  <c r="V273" i="75"/>
  <c r="U273" i="75"/>
  <c r="T273" i="75"/>
  <c r="S273" i="75"/>
  <c r="R273" i="75"/>
  <c r="Q273" i="75"/>
  <c r="P273" i="75"/>
  <c r="O273" i="75"/>
  <c r="N273" i="75"/>
  <c r="M273" i="75"/>
  <c r="L273" i="75"/>
  <c r="K273" i="75"/>
  <c r="J273" i="75"/>
  <c r="I273" i="75"/>
  <c r="H273" i="75"/>
  <c r="G273" i="75"/>
  <c r="F273" i="75"/>
  <c r="E273" i="75"/>
  <c r="D273" i="75"/>
  <c r="C273" i="75"/>
  <c r="B273" i="75"/>
  <c r="A273" i="75"/>
  <c r="AF272" i="75"/>
  <c r="AE272" i="75"/>
  <c r="AD272" i="75"/>
  <c r="AC272" i="75"/>
  <c r="AB272" i="75"/>
  <c r="AA272" i="75"/>
  <c r="Z272" i="75"/>
  <c r="Y272" i="75"/>
  <c r="X272" i="75"/>
  <c r="W272" i="75"/>
  <c r="V272" i="75"/>
  <c r="U272" i="75"/>
  <c r="T272" i="75"/>
  <c r="S272" i="75"/>
  <c r="R272" i="75"/>
  <c r="Q272" i="75"/>
  <c r="P272" i="75"/>
  <c r="O272" i="75"/>
  <c r="N272" i="75"/>
  <c r="M272" i="75"/>
  <c r="L272" i="75"/>
  <c r="K272" i="75"/>
  <c r="J272" i="75"/>
  <c r="I272" i="75"/>
  <c r="H272" i="75"/>
  <c r="G272" i="75"/>
  <c r="F272" i="75"/>
  <c r="E272" i="75"/>
  <c r="D272" i="75"/>
  <c r="C272" i="75"/>
  <c r="B272" i="75"/>
  <c r="A272" i="75"/>
  <c r="AF271" i="75"/>
  <c r="AE271" i="75"/>
  <c r="AD271" i="75"/>
  <c r="AC271" i="75"/>
  <c r="AB271" i="75"/>
  <c r="AA271" i="75"/>
  <c r="Z271" i="75"/>
  <c r="Y271" i="75"/>
  <c r="X271" i="75"/>
  <c r="W271" i="75"/>
  <c r="V271" i="75"/>
  <c r="U271" i="75"/>
  <c r="T271" i="75"/>
  <c r="S271" i="75"/>
  <c r="R271" i="75"/>
  <c r="Q271" i="75"/>
  <c r="P271" i="75"/>
  <c r="O271" i="75"/>
  <c r="N271" i="75"/>
  <c r="M271" i="75"/>
  <c r="L271" i="75"/>
  <c r="K271" i="75"/>
  <c r="J271" i="75"/>
  <c r="I271" i="75"/>
  <c r="H271" i="75"/>
  <c r="G271" i="75"/>
  <c r="F271" i="75"/>
  <c r="E271" i="75"/>
  <c r="D271" i="75"/>
  <c r="C271" i="75"/>
  <c r="B271" i="75"/>
  <c r="A271" i="75"/>
  <c r="AF270" i="75"/>
  <c r="AE270" i="75"/>
  <c r="AD270" i="75"/>
  <c r="AC270" i="75"/>
  <c r="AB270" i="75"/>
  <c r="AA270" i="75"/>
  <c r="Z270" i="75"/>
  <c r="Y270" i="75"/>
  <c r="X270" i="75"/>
  <c r="W270" i="75"/>
  <c r="V270" i="75"/>
  <c r="U270" i="75"/>
  <c r="T270" i="75"/>
  <c r="S270" i="75"/>
  <c r="R270" i="75"/>
  <c r="Q270" i="75"/>
  <c r="P270" i="75"/>
  <c r="O270" i="75"/>
  <c r="N270" i="75"/>
  <c r="M270" i="75"/>
  <c r="L270" i="75"/>
  <c r="K270" i="75"/>
  <c r="J270" i="75"/>
  <c r="I270" i="75"/>
  <c r="H270" i="75"/>
  <c r="G270" i="75"/>
  <c r="F270" i="75"/>
  <c r="E270" i="75"/>
  <c r="D270" i="75"/>
  <c r="C270" i="75"/>
  <c r="B270" i="75"/>
  <c r="AX249" i="75"/>
  <c r="AW249" i="75"/>
  <c r="AV249" i="75"/>
  <c r="AU249" i="75"/>
  <c r="AT249" i="75"/>
  <c r="AS249" i="75"/>
  <c r="AR249" i="75"/>
  <c r="AQ249" i="75"/>
  <c r="AP249" i="75"/>
  <c r="AO249" i="75"/>
  <c r="AN249" i="75"/>
  <c r="AM249" i="75"/>
  <c r="AL249" i="75"/>
  <c r="AK249" i="75"/>
  <c r="AJ249" i="75"/>
  <c r="AI249" i="75"/>
  <c r="AH249" i="75"/>
  <c r="AG249" i="75"/>
  <c r="AF249" i="75"/>
  <c r="AE249" i="75"/>
  <c r="AD249" i="75"/>
  <c r="AC249" i="75"/>
  <c r="AB249" i="75"/>
  <c r="AA249" i="75"/>
  <c r="Z249" i="75"/>
  <c r="Y249" i="75"/>
  <c r="X249" i="75"/>
  <c r="W249" i="75"/>
  <c r="V249" i="75"/>
  <c r="U249" i="75"/>
  <c r="T249" i="75"/>
  <c r="S245" i="75"/>
  <c r="C244" i="75"/>
  <c r="B244" i="75"/>
  <c r="AG235" i="75"/>
  <c r="AF235" i="75"/>
  <c r="AE235" i="75"/>
  <c r="AD235" i="75"/>
  <c r="AC235" i="75"/>
  <c r="AB235" i="75"/>
  <c r="AA235" i="75"/>
  <c r="Z235" i="75"/>
  <c r="Y235" i="75"/>
  <c r="X235" i="75"/>
  <c r="W235" i="75"/>
  <c r="V235" i="75"/>
  <c r="U235" i="75"/>
  <c r="T235" i="75"/>
  <c r="S235" i="75"/>
  <c r="R235" i="75"/>
  <c r="Q235" i="75"/>
  <c r="H235" i="75"/>
  <c r="G235" i="75"/>
  <c r="F235" i="75"/>
  <c r="E235" i="75"/>
  <c r="D235" i="75"/>
  <c r="C235" i="75"/>
  <c r="B235" i="75"/>
  <c r="P234" i="75"/>
  <c r="O234" i="75"/>
  <c r="N234" i="75"/>
  <c r="M234" i="75"/>
  <c r="L234" i="75"/>
  <c r="K234" i="75"/>
  <c r="J234" i="75"/>
  <c r="I234" i="75"/>
  <c r="H234" i="75"/>
  <c r="G234" i="75"/>
  <c r="F234" i="75"/>
  <c r="E234" i="75"/>
  <c r="D234" i="75"/>
  <c r="B234" i="75"/>
  <c r="P233" i="75"/>
  <c r="O233" i="75"/>
  <c r="N233" i="75"/>
  <c r="M233" i="75"/>
  <c r="L233" i="75"/>
  <c r="K233" i="75"/>
  <c r="J233" i="75"/>
  <c r="I233" i="75"/>
  <c r="H233" i="75"/>
  <c r="G233" i="75"/>
  <c r="F233" i="75"/>
  <c r="E233" i="75"/>
  <c r="D233" i="75"/>
  <c r="B233" i="75"/>
  <c r="P232" i="75"/>
  <c r="O232" i="75"/>
  <c r="N232" i="75"/>
  <c r="M232" i="75"/>
  <c r="L232" i="75"/>
  <c r="K232" i="75"/>
  <c r="J232" i="75"/>
  <c r="I232" i="75"/>
  <c r="H232" i="75"/>
  <c r="G232" i="75"/>
  <c r="F232" i="75"/>
  <c r="E232" i="75"/>
  <c r="D232" i="75"/>
  <c r="B232" i="75"/>
  <c r="H231" i="75"/>
  <c r="G231" i="75"/>
  <c r="F231" i="75"/>
  <c r="E231" i="75"/>
  <c r="D231" i="75"/>
  <c r="B231" i="75"/>
  <c r="P230" i="75"/>
  <c r="O230" i="75"/>
  <c r="N230" i="75"/>
  <c r="M230" i="75"/>
  <c r="L230" i="75"/>
  <c r="K230" i="75"/>
  <c r="J230" i="75"/>
  <c r="I230" i="75"/>
  <c r="H230" i="75"/>
  <c r="G230" i="75"/>
  <c r="F230" i="75"/>
  <c r="E230" i="75"/>
  <c r="D230" i="75"/>
  <c r="B230" i="75"/>
  <c r="P229" i="75"/>
  <c r="O229" i="75"/>
  <c r="N229" i="75"/>
  <c r="M229" i="75"/>
  <c r="L229" i="75"/>
  <c r="K229" i="75"/>
  <c r="J229" i="75"/>
  <c r="I229" i="75"/>
  <c r="H229" i="75"/>
  <c r="G229" i="75"/>
  <c r="F229" i="75"/>
  <c r="E229" i="75"/>
  <c r="D229" i="75"/>
  <c r="B229" i="75"/>
  <c r="AG227" i="75"/>
  <c r="AF227" i="75"/>
  <c r="AE227" i="75"/>
  <c r="AD227" i="75"/>
  <c r="AC227" i="75"/>
  <c r="AB227" i="75"/>
  <c r="AA227" i="75"/>
  <c r="Z227" i="75"/>
  <c r="Y227" i="75"/>
  <c r="X227" i="75"/>
  <c r="W227" i="75"/>
  <c r="V227" i="75"/>
  <c r="U227" i="75"/>
  <c r="T227" i="75"/>
  <c r="S227" i="75"/>
  <c r="R227" i="75"/>
  <c r="Q227" i="75"/>
  <c r="P227" i="75"/>
  <c r="O227" i="75"/>
  <c r="N227" i="75"/>
  <c r="M227" i="75"/>
  <c r="L227" i="75"/>
  <c r="K227" i="75"/>
  <c r="J227" i="75"/>
  <c r="I227" i="75"/>
  <c r="H227" i="75"/>
  <c r="G227" i="75"/>
  <c r="F227" i="75"/>
  <c r="E227" i="75"/>
  <c r="D227" i="75"/>
  <c r="C227" i="75"/>
  <c r="B227" i="75"/>
  <c r="AI120" i="75"/>
  <c r="AH120" i="75"/>
  <c r="AI119" i="75"/>
  <c r="AH119" i="75"/>
  <c r="AI118" i="75"/>
  <c r="AH118" i="75"/>
  <c r="AI117" i="75"/>
  <c r="AH117" i="75"/>
  <c r="AI116" i="75"/>
  <c r="AH116" i="75"/>
  <c r="AI115" i="75"/>
  <c r="AH115" i="75"/>
  <c r="AI114" i="75"/>
  <c r="AH114" i="75"/>
  <c r="AI113" i="75"/>
  <c r="AH113" i="75"/>
  <c r="R113" i="75"/>
  <c r="Q113" i="75"/>
  <c r="P113" i="75"/>
  <c r="O113" i="75"/>
  <c r="N113" i="75"/>
  <c r="M113" i="75"/>
  <c r="AI112" i="75"/>
  <c r="AH112" i="75"/>
  <c r="AI111" i="75"/>
  <c r="AH111" i="75"/>
  <c r="AI110" i="75"/>
  <c r="AH110" i="75"/>
  <c r="AF110" i="75"/>
  <c r="AE110" i="75"/>
  <c r="AD110" i="75"/>
  <c r="AC110" i="75"/>
  <c r="AB110" i="75"/>
  <c r="AA110" i="75"/>
  <c r="Z110" i="75"/>
  <c r="Y110" i="75"/>
  <c r="X110" i="75"/>
  <c r="W110" i="75"/>
  <c r="V110" i="75"/>
  <c r="U110" i="75"/>
  <c r="T110" i="75"/>
  <c r="S110" i="75"/>
  <c r="R110" i="75"/>
  <c r="Q110" i="75"/>
  <c r="O110" i="75"/>
  <c r="N110" i="75"/>
  <c r="M110" i="75"/>
  <c r="L110" i="75"/>
  <c r="K110" i="75"/>
  <c r="J110" i="75"/>
  <c r="I110" i="75"/>
  <c r="H110" i="75"/>
  <c r="G110" i="75"/>
  <c r="F110" i="75"/>
  <c r="E110" i="75"/>
  <c r="D110" i="75"/>
  <c r="C110" i="75"/>
  <c r="B110" i="75"/>
  <c r="AI109" i="75"/>
  <c r="AH109" i="75"/>
  <c r="AI108" i="75"/>
  <c r="AH108" i="75"/>
  <c r="AI107" i="75"/>
  <c r="AH107" i="75"/>
  <c r="AI106" i="75"/>
  <c r="AH106" i="75"/>
  <c r="AI105" i="75"/>
  <c r="AH105" i="75"/>
  <c r="AI104" i="75"/>
  <c r="AH104" i="75"/>
  <c r="AI103" i="75"/>
  <c r="AH103" i="75"/>
  <c r="AI102" i="75"/>
  <c r="AH102" i="75"/>
  <c r="AI101" i="75"/>
  <c r="AH101" i="75"/>
  <c r="AI100" i="75"/>
  <c r="AH100" i="75"/>
  <c r="AF100" i="75"/>
  <c r="AE100" i="75"/>
  <c r="AD100" i="75"/>
  <c r="AC100" i="75"/>
  <c r="AB100" i="75"/>
  <c r="AA100" i="75"/>
  <c r="Z100" i="75"/>
  <c r="Y100" i="75"/>
  <c r="X100" i="75"/>
  <c r="W100" i="75"/>
  <c r="V100" i="75"/>
  <c r="U100" i="75"/>
  <c r="T100" i="75"/>
  <c r="S100" i="75"/>
  <c r="R100" i="75"/>
  <c r="Q100" i="75"/>
  <c r="P100" i="75"/>
  <c r="O100" i="75"/>
  <c r="N100" i="75"/>
  <c r="M100" i="75"/>
  <c r="L100" i="75"/>
  <c r="K100" i="75"/>
  <c r="J100" i="75"/>
  <c r="I100" i="75"/>
  <c r="H100" i="75"/>
  <c r="G100" i="75"/>
  <c r="F100" i="75"/>
  <c r="E100" i="75"/>
  <c r="D100" i="75"/>
  <c r="C100" i="75"/>
  <c r="B100" i="75"/>
  <c r="AI99" i="75"/>
  <c r="AH99" i="75"/>
  <c r="AF99" i="75"/>
  <c r="AE99" i="75"/>
  <c r="AD99" i="75"/>
  <c r="AC99" i="75"/>
  <c r="AB99" i="75"/>
  <c r="AA99" i="75"/>
  <c r="Z99" i="75"/>
  <c r="Y99" i="75"/>
  <c r="X99" i="75"/>
  <c r="W99" i="75"/>
  <c r="V99" i="75"/>
  <c r="U99" i="75"/>
  <c r="T99" i="75"/>
  <c r="S99" i="75"/>
  <c r="R99" i="75"/>
  <c r="Q99" i="75"/>
  <c r="P99" i="75"/>
  <c r="O99" i="75"/>
  <c r="N99" i="75"/>
  <c r="M99" i="75"/>
  <c r="L99" i="75"/>
  <c r="K99" i="75"/>
  <c r="J99" i="75"/>
  <c r="I99" i="75"/>
  <c r="H99" i="75"/>
  <c r="G99" i="75"/>
  <c r="F99" i="75"/>
  <c r="E99" i="75"/>
  <c r="D99" i="75"/>
  <c r="C99" i="75"/>
  <c r="B99" i="75"/>
  <c r="AI98" i="75"/>
  <c r="AH98" i="75"/>
  <c r="AI97" i="75"/>
  <c r="AH97" i="75"/>
  <c r="AI96" i="75"/>
  <c r="AH96" i="75"/>
  <c r="AI95" i="75"/>
  <c r="AH95" i="75"/>
  <c r="AI94" i="75"/>
  <c r="AH94" i="75"/>
  <c r="AI93" i="75"/>
  <c r="AH93" i="75"/>
  <c r="AI92" i="75"/>
  <c r="AH92" i="75"/>
  <c r="AF92" i="75"/>
  <c r="AE92" i="75"/>
  <c r="AD92" i="75"/>
  <c r="AC92" i="75"/>
  <c r="AB92" i="75"/>
  <c r="AA92" i="75"/>
  <c r="Z92" i="75"/>
  <c r="Y92" i="75"/>
  <c r="X92" i="75"/>
  <c r="W92" i="75"/>
  <c r="V92" i="75"/>
  <c r="U92" i="75"/>
  <c r="T92" i="75"/>
  <c r="S92" i="75"/>
  <c r="R92" i="75"/>
  <c r="Q92" i="75"/>
  <c r="P92" i="75"/>
  <c r="O92" i="75"/>
  <c r="N92" i="75"/>
  <c r="M92" i="75"/>
  <c r="L92" i="75"/>
  <c r="K92" i="75"/>
  <c r="J92" i="75"/>
  <c r="I92" i="75"/>
  <c r="H92" i="75"/>
  <c r="G92" i="75"/>
  <c r="F92" i="75"/>
  <c r="E92" i="75"/>
  <c r="D92" i="75"/>
  <c r="C92" i="75"/>
  <c r="B92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91" i="75"/>
  <c r="AI90" i="75"/>
  <c r="AH90" i="75"/>
  <c r="AI89" i="75"/>
  <c r="AH89" i="75"/>
  <c r="AG89" i="75"/>
  <c r="AF89" i="75"/>
  <c r="AE89" i="75"/>
  <c r="AD89" i="75"/>
  <c r="AC89" i="75"/>
  <c r="AB89" i="75"/>
  <c r="AA89" i="75"/>
  <c r="Z89" i="75"/>
  <c r="Y89" i="75"/>
  <c r="X89" i="75"/>
  <c r="W89" i="75"/>
  <c r="V89" i="75"/>
  <c r="U89" i="75"/>
  <c r="T89" i="75"/>
  <c r="S89" i="75"/>
  <c r="R89" i="75"/>
  <c r="Q89" i="75"/>
  <c r="P89" i="75"/>
  <c r="O89" i="75"/>
  <c r="N89" i="75"/>
  <c r="M89" i="75"/>
  <c r="L89" i="75"/>
  <c r="K89" i="75"/>
  <c r="J89" i="75"/>
  <c r="I89" i="75"/>
  <c r="H89" i="75"/>
  <c r="G89" i="75"/>
  <c r="F89" i="75"/>
  <c r="E89" i="75"/>
  <c r="D89" i="75"/>
  <c r="C89" i="75"/>
  <c r="B89" i="75"/>
  <c r="AI88" i="75"/>
  <c r="AH88" i="75"/>
  <c r="AG88" i="75"/>
  <c r="AI87" i="75"/>
  <c r="AH87" i="75"/>
  <c r="AI86" i="75"/>
  <c r="AH86" i="75"/>
  <c r="AI85" i="75"/>
  <c r="AH85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C84" i="75"/>
  <c r="B84" i="75"/>
  <c r="AI83" i="75"/>
  <c r="AH83" i="75"/>
  <c r="AI82" i="75"/>
  <c r="AH82" i="75"/>
  <c r="AI81" i="75"/>
  <c r="AH81" i="75"/>
  <c r="AI80" i="75"/>
  <c r="AH80" i="75"/>
  <c r="AI79" i="75"/>
  <c r="AH79" i="75"/>
  <c r="AI78" i="75"/>
  <c r="AH78" i="75"/>
  <c r="AI77" i="75"/>
  <c r="AH77" i="75"/>
  <c r="AI76" i="75"/>
  <c r="AH76" i="75"/>
  <c r="AI75" i="75"/>
  <c r="AH75" i="75"/>
  <c r="AI74" i="75"/>
  <c r="AH74" i="75"/>
  <c r="AI73" i="75"/>
  <c r="AH73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B72" i="75"/>
  <c r="AI71" i="75"/>
  <c r="AH71" i="75"/>
  <c r="AI70" i="75"/>
  <c r="AH70" i="75"/>
  <c r="AI69" i="75"/>
  <c r="AH69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C68" i="75"/>
  <c r="B68" i="75"/>
  <c r="AI67" i="75"/>
  <c r="AH67" i="75"/>
  <c r="AG67" i="75"/>
  <c r="AI66" i="75"/>
  <c r="AH66" i="75"/>
  <c r="AI65" i="75"/>
  <c r="AH65" i="75"/>
  <c r="AI64" i="75"/>
  <c r="AH64" i="75"/>
  <c r="AI63" i="75"/>
  <c r="AH63" i="75"/>
  <c r="AI62" i="75"/>
  <c r="AH62" i="75"/>
  <c r="AI61" i="75"/>
  <c r="AH61" i="75"/>
  <c r="AI60" i="75"/>
  <c r="AH60" i="75"/>
  <c r="AI59" i="75"/>
  <c r="AH59" i="75"/>
  <c r="AI58" i="75"/>
  <c r="AH58" i="75"/>
  <c r="AI57" i="75"/>
  <c r="AH57" i="75"/>
  <c r="AI56" i="75"/>
  <c r="AH56" i="75"/>
  <c r="AI55" i="75"/>
  <c r="AH55" i="75"/>
  <c r="AI54" i="75"/>
  <c r="AH54" i="75"/>
  <c r="AG54" i="75"/>
  <c r="AF54" i="75"/>
  <c r="AE54" i="75"/>
  <c r="AD54" i="75"/>
  <c r="AC54" i="75"/>
  <c r="AB54" i="75"/>
  <c r="AA54" i="75"/>
  <c r="Z54" i="75"/>
  <c r="Y54" i="75"/>
  <c r="X54" i="75"/>
  <c r="W54" i="75"/>
  <c r="V54" i="75"/>
  <c r="U54" i="75"/>
  <c r="T54" i="75"/>
  <c r="S54" i="75"/>
  <c r="R54" i="75"/>
  <c r="Q54" i="75"/>
  <c r="P54" i="75"/>
  <c r="O54" i="75"/>
  <c r="N54" i="75"/>
  <c r="M54" i="75"/>
  <c r="L54" i="75"/>
  <c r="K54" i="75"/>
  <c r="J54" i="75"/>
  <c r="I54" i="75"/>
  <c r="H54" i="75"/>
  <c r="G54" i="75"/>
  <c r="F54" i="75"/>
  <c r="E54" i="75"/>
  <c r="D54" i="75"/>
  <c r="C54" i="75"/>
  <c r="B54" i="75"/>
  <c r="AI53" i="75"/>
  <c r="AH53" i="75"/>
  <c r="AI52" i="75"/>
  <c r="AH52" i="75"/>
  <c r="AI51" i="75"/>
  <c r="AH51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C50" i="75"/>
  <c r="B50" i="75"/>
  <c r="AI49" i="75"/>
  <c r="AH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AI48" i="75"/>
  <c r="AH48" i="75"/>
  <c r="AI47" i="75"/>
  <c r="AH47" i="75"/>
  <c r="AI46" i="75"/>
  <c r="AH46" i="75"/>
  <c r="AI45" i="75"/>
  <c r="AH45" i="75"/>
  <c r="AI44" i="75"/>
  <c r="AH44" i="75"/>
  <c r="AI43" i="75"/>
  <c r="AH43" i="75"/>
  <c r="AI42" i="75"/>
  <c r="AH42" i="75"/>
  <c r="AI41" i="75"/>
  <c r="AH41" i="75"/>
  <c r="AI40" i="75"/>
  <c r="AH40" i="75"/>
  <c r="AI39" i="75"/>
  <c r="AH39" i="75"/>
  <c r="AI38" i="75"/>
  <c r="AH38" i="75"/>
  <c r="AI37" i="75"/>
  <c r="AH37" i="75"/>
  <c r="AI36" i="75"/>
  <c r="AH36" i="75"/>
  <c r="AI35" i="75"/>
  <c r="AH35" i="75"/>
  <c r="AI34" i="75"/>
  <c r="AH34" i="75"/>
  <c r="AI33" i="75"/>
  <c r="AH33" i="75"/>
  <c r="AI32" i="75"/>
  <c r="AH32" i="75"/>
  <c r="AI31" i="75"/>
  <c r="AH31" i="75"/>
  <c r="AI30" i="75"/>
  <c r="AH30" i="75"/>
  <c r="AI29" i="75"/>
  <c r="AH29" i="75"/>
  <c r="AI28" i="75"/>
  <c r="AH28" i="75"/>
  <c r="AI27" i="75"/>
  <c r="AH27" i="75"/>
  <c r="U27" i="75"/>
  <c r="T27" i="75"/>
  <c r="S27" i="75"/>
  <c r="R27" i="75"/>
  <c r="AI26" i="75"/>
  <c r="AH26" i="75"/>
  <c r="AI25" i="75"/>
  <c r="AH25" i="75"/>
  <c r="AI24" i="75"/>
  <c r="AH24" i="75"/>
  <c r="AI23" i="75"/>
  <c r="AH23" i="75"/>
  <c r="AI22" i="75"/>
  <c r="AH22" i="75"/>
  <c r="AI21" i="75"/>
  <c r="AH21" i="75"/>
  <c r="AI20" i="75"/>
  <c r="AH20" i="75"/>
  <c r="AI19" i="75"/>
  <c r="AH19" i="75"/>
  <c r="AI18" i="75"/>
  <c r="AH18" i="75"/>
  <c r="AI17" i="75"/>
  <c r="AH17" i="75"/>
  <c r="AI16" i="75"/>
  <c r="AH16" i="75"/>
  <c r="AI15" i="75"/>
  <c r="AH15" i="75"/>
  <c r="AI14" i="75"/>
  <c r="AH14" i="75"/>
  <c r="AI13" i="75"/>
  <c r="AH13" i="75"/>
  <c r="AI12" i="75"/>
  <c r="AH12" i="75"/>
  <c r="AI11" i="75"/>
  <c r="AH11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C7" i="75"/>
  <c r="B7" i="75"/>
  <c r="A7" i="75"/>
  <c r="AG6" i="75"/>
  <c r="K6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C5" i="75"/>
  <c r="B5" i="75"/>
  <c r="AG4" i="75"/>
  <c r="K4" i="75"/>
  <c r="E4" i="75"/>
  <c r="H4" i="75" s="1"/>
  <c r="B4" i="75"/>
  <c r="S246" i="75" s="1"/>
  <c r="AG3" i="75"/>
  <c r="AG2" i="75"/>
  <c r="AF274" i="74"/>
  <c r="AE274" i="74"/>
  <c r="AD274" i="74"/>
  <c r="AC274" i="74"/>
  <c r="AB274" i="74"/>
  <c r="AA274" i="74"/>
  <c r="Z274" i="74"/>
  <c r="Y274" i="74"/>
  <c r="X274" i="74"/>
  <c r="W274" i="74"/>
  <c r="V274" i="74"/>
  <c r="U274" i="74"/>
  <c r="T274" i="74"/>
  <c r="S274" i="74"/>
  <c r="R274" i="74"/>
  <c r="Q274" i="74"/>
  <c r="P274" i="74"/>
  <c r="O274" i="74"/>
  <c r="N274" i="74"/>
  <c r="M274" i="74"/>
  <c r="L274" i="74"/>
  <c r="K274" i="74"/>
  <c r="J274" i="74"/>
  <c r="I274" i="74"/>
  <c r="H274" i="74"/>
  <c r="G274" i="74"/>
  <c r="F274" i="74"/>
  <c r="E274" i="74"/>
  <c r="D274" i="74"/>
  <c r="C274" i="74"/>
  <c r="B274" i="74"/>
  <c r="A274" i="74"/>
  <c r="AF273" i="74"/>
  <c r="AE273" i="74"/>
  <c r="AD273" i="74"/>
  <c r="AC273" i="74"/>
  <c r="AB273" i="74"/>
  <c r="AA273" i="74"/>
  <c r="Z273" i="74"/>
  <c r="Y273" i="74"/>
  <c r="X273" i="74"/>
  <c r="W273" i="74"/>
  <c r="V273" i="74"/>
  <c r="U273" i="74"/>
  <c r="T273" i="74"/>
  <c r="S273" i="74"/>
  <c r="R273" i="74"/>
  <c r="Q273" i="74"/>
  <c r="P273" i="74"/>
  <c r="O273" i="74"/>
  <c r="N273" i="74"/>
  <c r="M273" i="74"/>
  <c r="L273" i="74"/>
  <c r="K273" i="74"/>
  <c r="J273" i="74"/>
  <c r="I273" i="74"/>
  <c r="H273" i="74"/>
  <c r="G273" i="74"/>
  <c r="F273" i="74"/>
  <c r="E273" i="74"/>
  <c r="D273" i="74"/>
  <c r="C273" i="74"/>
  <c r="B273" i="74"/>
  <c r="A273" i="74"/>
  <c r="AF272" i="74"/>
  <c r="AE272" i="74"/>
  <c r="AD272" i="74"/>
  <c r="AC272" i="74"/>
  <c r="AB272" i="74"/>
  <c r="AA272" i="74"/>
  <c r="Z272" i="74"/>
  <c r="Y272" i="74"/>
  <c r="X272" i="74"/>
  <c r="W272" i="74"/>
  <c r="V272" i="74"/>
  <c r="U272" i="74"/>
  <c r="T272" i="74"/>
  <c r="S272" i="74"/>
  <c r="R272" i="74"/>
  <c r="Q272" i="74"/>
  <c r="P272" i="74"/>
  <c r="O272" i="74"/>
  <c r="N272" i="74"/>
  <c r="M272" i="74"/>
  <c r="L272" i="74"/>
  <c r="K272" i="74"/>
  <c r="J272" i="74"/>
  <c r="I272" i="74"/>
  <c r="H272" i="74"/>
  <c r="G272" i="74"/>
  <c r="F272" i="74"/>
  <c r="E272" i="74"/>
  <c r="D272" i="74"/>
  <c r="C272" i="74"/>
  <c r="B272" i="74"/>
  <c r="A272" i="74"/>
  <c r="AF271" i="74"/>
  <c r="AE271" i="74"/>
  <c r="AD271" i="74"/>
  <c r="AC271" i="74"/>
  <c r="AB271" i="74"/>
  <c r="AA271" i="74"/>
  <c r="Z271" i="74"/>
  <c r="Y271" i="74"/>
  <c r="X271" i="74"/>
  <c r="W271" i="74"/>
  <c r="V271" i="74"/>
  <c r="U271" i="74"/>
  <c r="T271" i="74"/>
  <c r="S271" i="74"/>
  <c r="R271" i="74"/>
  <c r="Q271" i="74"/>
  <c r="P271" i="74"/>
  <c r="O271" i="74"/>
  <c r="N271" i="74"/>
  <c r="M271" i="74"/>
  <c r="L271" i="74"/>
  <c r="K271" i="74"/>
  <c r="J271" i="74"/>
  <c r="I271" i="74"/>
  <c r="H271" i="74"/>
  <c r="G271" i="74"/>
  <c r="F271" i="74"/>
  <c r="E271" i="74"/>
  <c r="D271" i="74"/>
  <c r="C271" i="74"/>
  <c r="B271" i="74"/>
  <c r="A271" i="74"/>
  <c r="AF270" i="74"/>
  <c r="AE270" i="74"/>
  <c r="AD270" i="74"/>
  <c r="AC270" i="74"/>
  <c r="AB270" i="74"/>
  <c r="AA270" i="74"/>
  <c r="Z270" i="74"/>
  <c r="Y270" i="74"/>
  <c r="X270" i="74"/>
  <c r="W270" i="74"/>
  <c r="V270" i="74"/>
  <c r="U270" i="74"/>
  <c r="T270" i="74"/>
  <c r="S270" i="74"/>
  <c r="R270" i="74"/>
  <c r="Q270" i="74"/>
  <c r="P270" i="74"/>
  <c r="O270" i="74"/>
  <c r="N270" i="74"/>
  <c r="M270" i="74"/>
  <c r="L270" i="74"/>
  <c r="K270" i="74"/>
  <c r="J270" i="74"/>
  <c r="I270" i="74"/>
  <c r="H270" i="74"/>
  <c r="G270" i="74"/>
  <c r="F270" i="74"/>
  <c r="E270" i="74"/>
  <c r="D270" i="74"/>
  <c r="C270" i="74"/>
  <c r="B270" i="74"/>
  <c r="AX249" i="74"/>
  <c r="AW249" i="74"/>
  <c r="AV249" i="74"/>
  <c r="AU249" i="74"/>
  <c r="AT249" i="74"/>
  <c r="AS249" i="74"/>
  <c r="AR249" i="74"/>
  <c r="AQ249" i="74"/>
  <c r="AP249" i="74"/>
  <c r="AO249" i="74"/>
  <c r="AN249" i="74"/>
  <c r="AM249" i="74"/>
  <c r="AL249" i="74"/>
  <c r="AK249" i="74"/>
  <c r="AJ249" i="74"/>
  <c r="AI249" i="74"/>
  <c r="AH249" i="74"/>
  <c r="AG249" i="74"/>
  <c r="AF249" i="74"/>
  <c r="AE249" i="74"/>
  <c r="AD249" i="74"/>
  <c r="AC249" i="74"/>
  <c r="AB249" i="74"/>
  <c r="AA249" i="74"/>
  <c r="Z249" i="74"/>
  <c r="Y249" i="74"/>
  <c r="X249" i="74"/>
  <c r="W249" i="74"/>
  <c r="V249" i="74"/>
  <c r="U249" i="74"/>
  <c r="T249" i="74"/>
  <c r="S245" i="74"/>
  <c r="C244" i="74"/>
  <c r="B244" i="74"/>
  <c r="AG235" i="74"/>
  <c r="AF235" i="74"/>
  <c r="AE235" i="74"/>
  <c r="AD235" i="74"/>
  <c r="AC235" i="74"/>
  <c r="AB235" i="74"/>
  <c r="AA235" i="74"/>
  <c r="Z235" i="74"/>
  <c r="Y235" i="74"/>
  <c r="X235" i="74"/>
  <c r="W235" i="74"/>
  <c r="V235" i="74"/>
  <c r="U235" i="74"/>
  <c r="T235" i="74"/>
  <c r="S235" i="74"/>
  <c r="R235" i="74"/>
  <c r="Q235" i="74"/>
  <c r="H235" i="74"/>
  <c r="G235" i="74"/>
  <c r="F235" i="74"/>
  <c r="E235" i="74"/>
  <c r="D235" i="74"/>
  <c r="C235" i="74"/>
  <c r="B235" i="74"/>
  <c r="P234" i="74"/>
  <c r="O234" i="74"/>
  <c r="N234" i="74"/>
  <c r="M234" i="74"/>
  <c r="L234" i="74"/>
  <c r="K234" i="74"/>
  <c r="J234" i="74"/>
  <c r="I234" i="74"/>
  <c r="H234" i="74"/>
  <c r="G234" i="74"/>
  <c r="F234" i="74"/>
  <c r="E234" i="74"/>
  <c r="D234" i="74"/>
  <c r="B234" i="74"/>
  <c r="P233" i="74"/>
  <c r="O233" i="74"/>
  <c r="N233" i="74"/>
  <c r="M233" i="74"/>
  <c r="L233" i="74"/>
  <c r="K233" i="74"/>
  <c r="J233" i="74"/>
  <c r="I233" i="74"/>
  <c r="H233" i="74"/>
  <c r="G233" i="74"/>
  <c r="F233" i="74"/>
  <c r="E233" i="74"/>
  <c r="D233" i="74"/>
  <c r="B233" i="74"/>
  <c r="P232" i="74"/>
  <c r="O232" i="74"/>
  <c r="N232" i="74"/>
  <c r="M232" i="74"/>
  <c r="L232" i="74"/>
  <c r="K232" i="74"/>
  <c r="J232" i="74"/>
  <c r="I232" i="74"/>
  <c r="H232" i="74"/>
  <c r="G232" i="74"/>
  <c r="F232" i="74"/>
  <c r="E232" i="74"/>
  <c r="D232" i="74"/>
  <c r="B232" i="74"/>
  <c r="H231" i="74"/>
  <c r="G231" i="74"/>
  <c r="F231" i="74"/>
  <c r="E231" i="74"/>
  <c r="D231" i="74"/>
  <c r="B231" i="74"/>
  <c r="P230" i="74"/>
  <c r="O230" i="74"/>
  <c r="N230" i="74"/>
  <c r="M230" i="74"/>
  <c r="L230" i="74"/>
  <c r="K230" i="74"/>
  <c r="J230" i="74"/>
  <c r="I230" i="74"/>
  <c r="H230" i="74"/>
  <c r="G230" i="74"/>
  <c r="F230" i="74"/>
  <c r="E230" i="74"/>
  <c r="D230" i="74"/>
  <c r="B230" i="74"/>
  <c r="P229" i="74"/>
  <c r="O229" i="74"/>
  <c r="N229" i="74"/>
  <c r="M229" i="74"/>
  <c r="L229" i="74"/>
  <c r="K229" i="74"/>
  <c r="J229" i="74"/>
  <c r="I229" i="74"/>
  <c r="H229" i="74"/>
  <c r="G229" i="74"/>
  <c r="F229" i="74"/>
  <c r="E229" i="74"/>
  <c r="D229" i="74"/>
  <c r="B229" i="74"/>
  <c r="AG227" i="74"/>
  <c r="AF227" i="74"/>
  <c r="AE227" i="74"/>
  <c r="AD227" i="74"/>
  <c r="AC227" i="74"/>
  <c r="AB227" i="74"/>
  <c r="AA227" i="74"/>
  <c r="Z227" i="74"/>
  <c r="Y227" i="74"/>
  <c r="X227" i="74"/>
  <c r="W227" i="74"/>
  <c r="V227" i="74"/>
  <c r="U227" i="74"/>
  <c r="T227" i="74"/>
  <c r="S227" i="74"/>
  <c r="R227" i="74"/>
  <c r="Q227" i="74"/>
  <c r="P227" i="74"/>
  <c r="O227" i="74"/>
  <c r="N227" i="74"/>
  <c r="M227" i="74"/>
  <c r="L227" i="74"/>
  <c r="K227" i="74"/>
  <c r="J227" i="74"/>
  <c r="I227" i="74"/>
  <c r="H227" i="74"/>
  <c r="G227" i="74"/>
  <c r="F227" i="74"/>
  <c r="E227" i="74"/>
  <c r="D227" i="74"/>
  <c r="C227" i="74"/>
  <c r="B227" i="74"/>
  <c r="AI120" i="74"/>
  <c r="AH120" i="74"/>
  <c r="P120" i="74"/>
  <c r="AI119" i="74"/>
  <c r="AH119" i="74"/>
  <c r="AI118" i="74"/>
  <c r="AH118" i="74"/>
  <c r="AI117" i="74"/>
  <c r="AH117" i="74"/>
  <c r="AI116" i="74"/>
  <c r="AH116" i="74"/>
  <c r="AI115" i="74"/>
  <c r="AH115" i="74"/>
  <c r="AI114" i="74"/>
  <c r="AH114" i="74"/>
  <c r="AI113" i="74"/>
  <c r="AH113" i="74"/>
  <c r="L113" i="74"/>
  <c r="K113" i="74"/>
  <c r="J113" i="74"/>
  <c r="G113" i="74"/>
  <c r="F113" i="74"/>
  <c r="E113" i="74"/>
  <c r="AI112" i="74"/>
  <c r="AH112" i="74"/>
  <c r="AI111" i="74"/>
  <c r="AH111" i="74"/>
  <c r="AI110" i="74"/>
  <c r="AH110" i="74"/>
  <c r="AF110" i="74"/>
  <c r="AE110" i="74"/>
  <c r="AC110" i="74"/>
  <c r="AB110" i="74"/>
  <c r="AA110" i="74"/>
  <c r="Z110" i="74"/>
  <c r="Y110" i="74"/>
  <c r="X110" i="74"/>
  <c r="W110" i="74"/>
  <c r="V110" i="74"/>
  <c r="U110" i="74"/>
  <c r="T110" i="74"/>
  <c r="S110" i="74"/>
  <c r="R110" i="74"/>
  <c r="Q110" i="74"/>
  <c r="P110" i="74"/>
  <c r="O110" i="74"/>
  <c r="N110" i="74"/>
  <c r="M110" i="74"/>
  <c r="L110" i="74"/>
  <c r="K110" i="74"/>
  <c r="J110" i="74"/>
  <c r="I110" i="74"/>
  <c r="H110" i="74"/>
  <c r="G110" i="74"/>
  <c r="F110" i="74"/>
  <c r="E110" i="74"/>
  <c r="D110" i="74"/>
  <c r="C110" i="74"/>
  <c r="B110" i="74"/>
  <c r="AI109" i="74"/>
  <c r="AH109" i="74"/>
  <c r="AI108" i="74"/>
  <c r="AH108" i="74"/>
  <c r="AI107" i="74"/>
  <c r="AH107" i="74"/>
  <c r="AI106" i="74"/>
  <c r="AH106" i="74"/>
  <c r="AI105" i="74"/>
  <c r="AH105" i="74"/>
  <c r="AI104" i="74"/>
  <c r="AH104" i="74"/>
  <c r="AI103" i="74"/>
  <c r="AH103" i="74"/>
  <c r="AI102" i="74"/>
  <c r="AH102" i="74"/>
  <c r="AI101" i="74"/>
  <c r="AH101" i="74"/>
  <c r="AI100" i="74"/>
  <c r="AH100" i="74"/>
  <c r="AF100" i="74"/>
  <c r="AE100" i="74"/>
  <c r="AD100" i="74"/>
  <c r="AC100" i="74"/>
  <c r="AB100" i="74"/>
  <c r="AA100" i="74"/>
  <c r="Z100" i="74"/>
  <c r="Y100" i="74"/>
  <c r="X100" i="74"/>
  <c r="W100" i="74"/>
  <c r="V100" i="74"/>
  <c r="U100" i="74"/>
  <c r="T100" i="74"/>
  <c r="S100" i="74"/>
  <c r="R100" i="74"/>
  <c r="Q100" i="74"/>
  <c r="P100" i="74"/>
  <c r="O100" i="74"/>
  <c r="N100" i="74"/>
  <c r="M100" i="74"/>
  <c r="L100" i="74"/>
  <c r="K100" i="74"/>
  <c r="J100" i="74"/>
  <c r="I100" i="74"/>
  <c r="H100" i="74"/>
  <c r="G100" i="74"/>
  <c r="F100" i="74"/>
  <c r="E100" i="74"/>
  <c r="D100" i="74"/>
  <c r="C100" i="74"/>
  <c r="B100" i="74"/>
  <c r="AI99" i="74"/>
  <c r="AH99" i="74"/>
  <c r="AF99" i="74"/>
  <c r="AE99" i="74"/>
  <c r="AD99" i="74"/>
  <c r="AC99" i="74"/>
  <c r="AB99" i="74"/>
  <c r="AA99" i="74"/>
  <c r="Z99" i="74"/>
  <c r="Y99" i="74"/>
  <c r="X99" i="74"/>
  <c r="W99" i="74"/>
  <c r="V99" i="74"/>
  <c r="U99" i="74"/>
  <c r="T99" i="74"/>
  <c r="S99" i="74"/>
  <c r="R99" i="74"/>
  <c r="Q99" i="74"/>
  <c r="P99" i="74"/>
  <c r="O99" i="74"/>
  <c r="N99" i="74"/>
  <c r="M99" i="74"/>
  <c r="L99" i="74"/>
  <c r="K99" i="74"/>
  <c r="J99" i="74"/>
  <c r="I99" i="74"/>
  <c r="H99" i="74"/>
  <c r="G99" i="74"/>
  <c r="F99" i="74"/>
  <c r="E99" i="74"/>
  <c r="D99" i="74"/>
  <c r="C99" i="74"/>
  <c r="B99" i="74"/>
  <c r="AI98" i="74"/>
  <c r="AH98" i="74"/>
  <c r="AI97" i="74"/>
  <c r="AH97" i="74"/>
  <c r="AI96" i="74"/>
  <c r="AH96" i="74"/>
  <c r="AI95" i="74"/>
  <c r="AH95" i="74"/>
  <c r="AI94" i="74"/>
  <c r="AH94" i="74"/>
  <c r="AI93" i="74"/>
  <c r="AH93" i="74"/>
  <c r="AI92" i="74"/>
  <c r="AH92" i="74"/>
  <c r="AF92" i="74"/>
  <c r="AE92" i="74"/>
  <c r="AD92" i="74"/>
  <c r="AC92" i="74"/>
  <c r="AB92" i="74"/>
  <c r="AA92" i="74"/>
  <c r="Z92" i="74"/>
  <c r="Y92" i="74"/>
  <c r="X92" i="74"/>
  <c r="W92" i="74"/>
  <c r="V92" i="74"/>
  <c r="U92" i="74"/>
  <c r="T92" i="74"/>
  <c r="S92" i="74"/>
  <c r="R92" i="74"/>
  <c r="Q92" i="74"/>
  <c r="P92" i="74"/>
  <c r="O92" i="74"/>
  <c r="N92" i="74"/>
  <c r="M92" i="74"/>
  <c r="L92" i="74"/>
  <c r="K92" i="74"/>
  <c r="J92" i="74"/>
  <c r="I92" i="74"/>
  <c r="H92" i="74"/>
  <c r="G92" i="74"/>
  <c r="F92" i="74"/>
  <c r="E92" i="74"/>
  <c r="D92" i="74"/>
  <c r="C92" i="74"/>
  <c r="B92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91" i="74"/>
  <c r="AI90" i="74"/>
  <c r="AH90" i="74"/>
  <c r="AI89" i="74"/>
  <c r="AH89" i="74"/>
  <c r="AG89" i="74"/>
  <c r="AF89" i="74"/>
  <c r="AE89" i="74"/>
  <c r="AD89" i="74"/>
  <c r="AC89" i="74"/>
  <c r="AB89" i="74"/>
  <c r="AA89" i="74"/>
  <c r="Z89" i="74"/>
  <c r="Y89" i="74"/>
  <c r="X89" i="74"/>
  <c r="W89" i="74"/>
  <c r="V89" i="74"/>
  <c r="U89" i="74"/>
  <c r="T89" i="74"/>
  <c r="S89" i="74"/>
  <c r="R89" i="74"/>
  <c r="Q89" i="74"/>
  <c r="P89" i="74"/>
  <c r="O89" i="74"/>
  <c r="N89" i="74"/>
  <c r="M89" i="74"/>
  <c r="L89" i="74"/>
  <c r="K89" i="74"/>
  <c r="J89" i="74"/>
  <c r="I89" i="74"/>
  <c r="H89" i="74"/>
  <c r="G89" i="74"/>
  <c r="F89" i="74"/>
  <c r="E89" i="74"/>
  <c r="D89" i="74"/>
  <c r="C89" i="74"/>
  <c r="B89" i="74"/>
  <c r="AI88" i="74"/>
  <c r="AH88" i="74"/>
  <c r="AG88" i="74"/>
  <c r="AI87" i="74"/>
  <c r="AH87" i="74"/>
  <c r="AI86" i="74"/>
  <c r="AH86" i="74"/>
  <c r="AI85" i="74"/>
  <c r="AH85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C84" i="74"/>
  <c r="B84" i="74"/>
  <c r="AI83" i="74"/>
  <c r="AH83" i="74"/>
  <c r="AI82" i="74"/>
  <c r="AH82" i="74"/>
  <c r="AI81" i="74"/>
  <c r="AH81" i="74"/>
  <c r="AI80" i="74"/>
  <c r="AH80" i="74"/>
  <c r="AI79" i="74"/>
  <c r="AH79" i="74"/>
  <c r="AI78" i="74"/>
  <c r="AH78" i="74"/>
  <c r="AI77" i="74"/>
  <c r="AH77" i="74"/>
  <c r="AI76" i="74"/>
  <c r="AH76" i="74"/>
  <c r="AI75" i="74"/>
  <c r="AH75" i="74"/>
  <c r="AI74" i="74"/>
  <c r="AH74" i="74"/>
  <c r="AI73" i="74"/>
  <c r="AH73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B72" i="74"/>
  <c r="AI71" i="74"/>
  <c r="AH71" i="74"/>
  <c r="AI70" i="74"/>
  <c r="AH70" i="74"/>
  <c r="AI69" i="74"/>
  <c r="AH69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C68" i="74"/>
  <c r="B68" i="74"/>
  <c r="AI67" i="74"/>
  <c r="AH67" i="74"/>
  <c r="AG67" i="74"/>
  <c r="AI66" i="74"/>
  <c r="AH66" i="74"/>
  <c r="AI65" i="74"/>
  <c r="AH65" i="74"/>
  <c r="AI64" i="74"/>
  <c r="AH64" i="74"/>
  <c r="AI63" i="74"/>
  <c r="AH63" i="74"/>
  <c r="AI62" i="74"/>
  <c r="AH62" i="74"/>
  <c r="AI61" i="74"/>
  <c r="AH61" i="74"/>
  <c r="AI60" i="74"/>
  <c r="AH60" i="74"/>
  <c r="AI59" i="74"/>
  <c r="AH59" i="74"/>
  <c r="AI58" i="74"/>
  <c r="AH58" i="74"/>
  <c r="AI57" i="74"/>
  <c r="AH57" i="74"/>
  <c r="AI56" i="74"/>
  <c r="AH56" i="74"/>
  <c r="AI55" i="74"/>
  <c r="AH55" i="74"/>
  <c r="AI54" i="74"/>
  <c r="AH54" i="74"/>
  <c r="AG54" i="74"/>
  <c r="AF54" i="74"/>
  <c r="AE54" i="74"/>
  <c r="AD54" i="74"/>
  <c r="AC54" i="74"/>
  <c r="AB54" i="74"/>
  <c r="AA54" i="74"/>
  <c r="Z54" i="74"/>
  <c r="Y54" i="74"/>
  <c r="X54" i="74"/>
  <c r="W54" i="74"/>
  <c r="V54" i="74"/>
  <c r="U54" i="74"/>
  <c r="T54" i="74"/>
  <c r="S54" i="74"/>
  <c r="R54" i="74"/>
  <c r="Q54" i="74"/>
  <c r="P54" i="74"/>
  <c r="O54" i="74"/>
  <c r="N54" i="74"/>
  <c r="M54" i="74"/>
  <c r="L54" i="74"/>
  <c r="K54" i="74"/>
  <c r="J54" i="74"/>
  <c r="I54" i="74"/>
  <c r="H54" i="74"/>
  <c r="G54" i="74"/>
  <c r="F54" i="74"/>
  <c r="E54" i="74"/>
  <c r="D54" i="74"/>
  <c r="C54" i="74"/>
  <c r="B54" i="74"/>
  <c r="AI53" i="74"/>
  <c r="AH53" i="74"/>
  <c r="AI52" i="74"/>
  <c r="AH52" i="74"/>
  <c r="AI51" i="74"/>
  <c r="AH51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C50" i="74"/>
  <c r="B50" i="74"/>
  <c r="AI49" i="74"/>
  <c r="AH49" i="74"/>
  <c r="AD49" i="74"/>
  <c r="AC49" i="74"/>
  <c r="AB49" i="74"/>
  <c r="L49" i="74"/>
  <c r="K49" i="74"/>
  <c r="J49" i="74"/>
  <c r="G49" i="74"/>
  <c r="F49" i="74"/>
  <c r="E49" i="74"/>
  <c r="AI48" i="74"/>
  <c r="AH48" i="74"/>
  <c r="AI47" i="74"/>
  <c r="AH47" i="74"/>
  <c r="AI46" i="74"/>
  <c r="AH46" i="74"/>
  <c r="AI45" i="74"/>
  <c r="AH45" i="74"/>
  <c r="AI44" i="74"/>
  <c r="AH44" i="74"/>
  <c r="AI43" i="74"/>
  <c r="AH43" i="74"/>
  <c r="AI42" i="74"/>
  <c r="AH42" i="74"/>
  <c r="AI41" i="74"/>
  <c r="AH41" i="74"/>
  <c r="AI40" i="74"/>
  <c r="AH40" i="74"/>
  <c r="AI39" i="74"/>
  <c r="AH39" i="74"/>
  <c r="AI38" i="74"/>
  <c r="AH38" i="74"/>
  <c r="AI37" i="74"/>
  <c r="AH37" i="74"/>
  <c r="AI36" i="74"/>
  <c r="AH36" i="74"/>
  <c r="AI35" i="74"/>
  <c r="AH35" i="74"/>
  <c r="AI34" i="74"/>
  <c r="AH34" i="74"/>
  <c r="AI33" i="74"/>
  <c r="AH33" i="74"/>
  <c r="AI32" i="74"/>
  <c r="AH32" i="74"/>
  <c r="AI31" i="74"/>
  <c r="AH31" i="74"/>
  <c r="AI30" i="74"/>
  <c r="AH30" i="74"/>
  <c r="AI29" i="74"/>
  <c r="AH29" i="74"/>
  <c r="AI28" i="74"/>
  <c r="AH28" i="74"/>
  <c r="AI27" i="74"/>
  <c r="AH27" i="74"/>
  <c r="AI26" i="74"/>
  <c r="AH26" i="74"/>
  <c r="AI25" i="74"/>
  <c r="AH25" i="74"/>
  <c r="AI24" i="74"/>
  <c r="AH24" i="74"/>
  <c r="AI23" i="74"/>
  <c r="AH23" i="74"/>
  <c r="AI22" i="74"/>
  <c r="AH22" i="74"/>
  <c r="AI21" i="74"/>
  <c r="AH21" i="74"/>
  <c r="AI20" i="74"/>
  <c r="AH20" i="74"/>
  <c r="AI19" i="74"/>
  <c r="AH19" i="74"/>
  <c r="AI18" i="74"/>
  <c r="AH18" i="74"/>
  <c r="AI17" i="74"/>
  <c r="AH17" i="74"/>
  <c r="AI16" i="74"/>
  <c r="AH16" i="74"/>
  <c r="AI15" i="74"/>
  <c r="AH15" i="74"/>
  <c r="AI14" i="74"/>
  <c r="AH14" i="74"/>
  <c r="AI13" i="74"/>
  <c r="AH13" i="74"/>
  <c r="AI12" i="74"/>
  <c r="AH12" i="74"/>
  <c r="AI11" i="74"/>
  <c r="AH11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C7" i="74"/>
  <c r="B7" i="74"/>
  <c r="A7" i="74"/>
  <c r="AG6" i="74"/>
  <c r="K6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C5" i="74"/>
  <c r="B5" i="74"/>
  <c r="AG4" i="74"/>
  <c r="K4" i="74"/>
  <c r="E4" i="74"/>
  <c r="H4" i="74" s="1"/>
  <c r="B4" i="74"/>
  <c r="S246" i="74" s="1"/>
  <c r="AG3" i="74"/>
  <c r="AG2" i="74"/>
  <c r="AF274" i="73"/>
  <c r="AE274" i="73"/>
  <c r="AD274" i="73"/>
  <c r="AC274" i="73"/>
  <c r="AB274" i="73"/>
  <c r="AA274" i="73"/>
  <c r="Z274" i="73"/>
  <c r="Y274" i="73"/>
  <c r="X274" i="73"/>
  <c r="W274" i="73"/>
  <c r="V274" i="73"/>
  <c r="U274" i="73"/>
  <c r="T274" i="73"/>
  <c r="S274" i="73"/>
  <c r="R274" i="73"/>
  <c r="Q274" i="73"/>
  <c r="P274" i="73"/>
  <c r="O274" i="73"/>
  <c r="N274" i="73"/>
  <c r="M274" i="73"/>
  <c r="L274" i="73"/>
  <c r="K274" i="73"/>
  <c r="J274" i="73"/>
  <c r="I274" i="73"/>
  <c r="H274" i="73"/>
  <c r="G274" i="73"/>
  <c r="F274" i="73"/>
  <c r="E274" i="73"/>
  <c r="D274" i="73"/>
  <c r="C274" i="73"/>
  <c r="B274" i="73"/>
  <c r="A274" i="73"/>
  <c r="AF273" i="73"/>
  <c r="AE273" i="73"/>
  <c r="AD273" i="73"/>
  <c r="AC273" i="73"/>
  <c r="AB273" i="73"/>
  <c r="AA273" i="73"/>
  <c r="Z273" i="73"/>
  <c r="Y273" i="73"/>
  <c r="X273" i="73"/>
  <c r="W273" i="73"/>
  <c r="V273" i="73"/>
  <c r="U273" i="73"/>
  <c r="T273" i="73"/>
  <c r="S273" i="73"/>
  <c r="R273" i="73"/>
  <c r="Q273" i="73"/>
  <c r="P273" i="73"/>
  <c r="O273" i="73"/>
  <c r="N273" i="73"/>
  <c r="M273" i="73"/>
  <c r="L273" i="73"/>
  <c r="K273" i="73"/>
  <c r="J273" i="73"/>
  <c r="I273" i="73"/>
  <c r="H273" i="73"/>
  <c r="G273" i="73"/>
  <c r="F273" i="73"/>
  <c r="E273" i="73"/>
  <c r="D273" i="73"/>
  <c r="C273" i="73"/>
  <c r="B273" i="73"/>
  <c r="A273" i="73"/>
  <c r="AF272" i="73"/>
  <c r="AE272" i="73"/>
  <c r="AD272" i="73"/>
  <c r="AC272" i="73"/>
  <c r="AB272" i="73"/>
  <c r="AA272" i="73"/>
  <c r="Z272" i="73"/>
  <c r="Y272" i="73"/>
  <c r="X272" i="73"/>
  <c r="W272" i="73"/>
  <c r="V272" i="73"/>
  <c r="U272" i="73"/>
  <c r="T272" i="73"/>
  <c r="S272" i="73"/>
  <c r="R272" i="73"/>
  <c r="Q272" i="73"/>
  <c r="P272" i="73"/>
  <c r="O272" i="73"/>
  <c r="N272" i="73"/>
  <c r="M272" i="73"/>
  <c r="L272" i="73"/>
  <c r="K272" i="73"/>
  <c r="J272" i="73"/>
  <c r="I272" i="73"/>
  <c r="H272" i="73"/>
  <c r="G272" i="73"/>
  <c r="F272" i="73"/>
  <c r="E272" i="73"/>
  <c r="D272" i="73"/>
  <c r="C272" i="73"/>
  <c r="B272" i="73"/>
  <c r="A272" i="73"/>
  <c r="AF271" i="73"/>
  <c r="AE271" i="73"/>
  <c r="AD271" i="73"/>
  <c r="AC271" i="73"/>
  <c r="AB271" i="73"/>
  <c r="AA271" i="73"/>
  <c r="Z271" i="73"/>
  <c r="Y271" i="73"/>
  <c r="X271" i="73"/>
  <c r="W271" i="73"/>
  <c r="V271" i="73"/>
  <c r="U271" i="73"/>
  <c r="T271" i="73"/>
  <c r="S271" i="73"/>
  <c r="R271" i="73"/>
  <c r="Q271" i="73"/>
  <c r="P271" i="73"/>
  <c r="O271" i="73"/>
  <c r="N271" i="73"/>
  <c r="M271" i="73"/>
  <c r="L271" i="73"/>
  <c r="K271" i="73"/>
  <c r="J271" i="73"/>
  <c r="I271" i="73"/>
  <c r="H271" i="73"/>
  <c r="G271" i="73"/>
  <c r="F271" i="73"/>
  <c r="E271" i="73"/>
  <c r="D271" i="73"/>
  <c r="C271" i="73"/>
  <c r="B271" i="73"/>
  <c r="A271" i="73"/>
  <c r="AF270" i="73"/>
  <c r="AE270" i="73"/>
  <c r="AD270" i="73"/>
  <c r="AC270" i="73"/>
  <c r="AB270" i="73"/>
  <c r="AA270" i="73"/>
  <c r="Z270" i="73"/>
  <c r="Y270" i="73"/>
  <c r="X270" i="73"/>
  <c r="W270" i="73"/>
  <c r="V270" i="73"/>
  <c r="U270" i="73"/>
  <c r="T270" i="73"/>
  <c r="S270" i="73"/>
  <c r="R270" i="73"/>
  <c r="Q270" i="73"/>
  <c r="P270" i="73"/>
  <c r="O270" i="73"/>
  <c r="N270" i="73"/>
  <c r="M270" i="73"/>
  <c r="L270" i="73"/>
  <c r="K270" i="73"/>
  <c r="J270" i="73"/>
  <c r="I270" i="73"/>
  <c r="H270" i="73"/>
  <c r="G270" i="73"/>
  <c r="F270" i="73"/>
  <c r="E270" i="73"/>
  <c r="D270" i="73"/>
  <c r="C270" i="73"/>
  <c r="B270" i="73"/>
  <c r="AX249" i="73"/>
  <c r="AW249" i="73"/>
  <c r="AV249" i="73"/>
  <c r="AU249" i="73"/>
  <c r="AT249" i="73"/>
  <c r="AS249" i="73"/>
  <c r="AR249" i="73"/>
  <c r="AQ249" i="73"/>
  <c r="AP249" i="73"/>
  <c r="AO249" i="73"/>
  <c r="AN249" i="73"/>
  <c r="AM249" i="73"/>
  <c r="AL249" i="73"/>
  <c r="AK249" i="73"/>
  <c r="AJ249" i="73"/>
  <c r="AI249" i="73"/>
  <c r="AH249" i="73"/>
  <c r="AG249" i="73"/>
  <c r="AF249" i="73"/>
  <c r="AE249" i="73"/>
  <c r="AD249" i="73"/>
  <c r="AC249" i="73"/>
  <c r="AB249" i="73"/>
  <c r="AA249" i="73"/>
  <c r="Z249" i="73"/>
  <c r="Y249" i="73"/>
  <c r="X249" i="73"/>
  <c r="W249" i="73"/>
  <c r="V249" i="73"/>
  <c r="U249" i="73"/>
  <c r="T249" i="73"/>
  <c r="S245" i="73"/>
  <c r="C244" i="73"/>
  <c r="B244" i="73"/>
  <c r="AG235" i="73"/>
  <c r="AF235" i="73"/>
  <c r="AE235" i="73"/>
  <c r="AD235" i="73"/>
  <c r="AC235" i="73"/>
  <c r="AB235" i="73"/>
  <c r="AA235" i="73"/>
  <c r="Z235" i="73"/>
  <c r="Y235" i="73"/>
  <c r="X235" i="73"/>
  <c r="W235" i="73"/>
  <c r="V235" i="73"/>
  <c r="U235" i="73"/>
  <c r="T235" i="73"/>
  <c r="S235" i="73"/>
  <c r="R235" i="73"/>
  <c r="Q235" i="73"/>
  <c r="H235" i="73"/>
  <c r="G235" i="73"/>
  <c r="F235" i="73"/>
  <c r="E235" i="73"/>
  <c r="D235" i="73"/>
  <c r="C235" i="73"/>
  <c r="B235" i="73"/>
  <c r="P234" i="73"/>
  <c r="O234" i="73"/>
  <c r="N234" i="73"/>
  <c r="M234" i="73"/>
  <c r="L234" i="73"/>
  <c r="K234" i="73"/>
  <c r="J234" i="73"/>
  <c r="I234" i="73"/>
  <c r="H234" i="73"/>
  <c r="G234" i="73"/>
  <c r="F234" i="73"/>
  <c r="E234" i="73"/>
  <c r="D234" i="73"/>
  <c r="B234" i="73"/>
  <c r="P233" i="73"/>
  <c r="O233" i="73"/>
  <c r="N233" i="73"/>
  <c r="M233" i="73"/>
  <c r="L233" i="73"/>
  <c r="K233" i="73"/>
  <c r="J233" i="73"/>
  <c r="I233" i="73"/>
  <c r="H233" i="73"/>
  <c r="G233" i="73"/>
  <c r="F233" i="73"/>
  <c r="E233" i="73"/>
  <c r="D233" i="73"/>
  <c r="B233" i="73"/>
  <c r="P232" i="73"/>
  <c r="O232" i="73"/>
  <c r="N232" i="73"/>
  <c r="M232" i="73"/>
  <c r="L232" i="73"/>
  <c r="K232" i="73"/>
  <c r="J232" i="73"/>
  <c r="I232" i="73"/>
  <c r="H232" i="73"/>
  <c r="G232" i="73"/>
  <c r="F232" i="73"/>
  <c r="E232" i="73"/>
  <c r="D232" i="73"/>
  <c r="B232" i="73"/>
  <c r="H231" i="73"/>
  <c r="G231" i="73"/>
  <c r="F231" i="73"/>
  <c r="E231" i="73"/>
  <c r="D231" i="73"/>
  <c r="B231" i="73"/>
  <c r="P230" i="73"/>
  <c r="O230" i="73"/>
  <c r="N230" i="73"/>
  <c r="M230" i="73"/>
  <c r="L230" i="73"/>
  <c r="K230" i="73"/>
  <c r="J230" i="73"/>
  <c r="I230" i="73"/>
  <c r="H230" i="73"/>
  <c r="G230" i="73"/>
  <c r="F230" i="73"/>
  <c r="E230" i="73"/>
  <c r="D230" i="73"/>
  <c r="B230" i="73"/>
  <c r="P229" i="73"/>
  <c r="O229" i="73"/>
  <c r="N229" i="73"/>
  <c r="M229" i="73"/>
  <c r="L229" i="73"/>
  <c r="K229" i="73"/>
  <c r="J229" i="73"/>
  <c r="I229" i="73"/>
  <c r="H229" i="73"/>
  <c r="G229" i="73"/>
  <c r="F229" i="73"/>
  <c r="E229" i="73"/>
  <c r="D229" i="73"/>
  <c r="B229" i="73"/>
  <c r="AG227" i="73"/>
  <c r="AF227" i="73"/>
  <c r="AE227" i="73"/>
  <c r="AD227" i="73"/>
  <c r="AC227" i="73"/>
  <c r="AB227" i="73"/>
  <c r="AA227" i="73"/>
  <c r="Z227" i="73"/>
  <c r="Y227" i="73"/>
  <c r="X227" i="73"/>
  <c r="W227" i="73"/>
  <c r="V227" i="73"/>
  <c r="U227" i="73"/>
  <c r="T227" i="73"/>
  <c r="S227" i="73"/>
  <c r="R227" i="73"/>
  <c r="Q227" i="73"/>
  <c r="P227" i="73"/>
  <c r="O227" i="73"/>
  <c r="N227" i="73"/>
  <c r="M227" i="73"/>
  <c r="L227" i="73"/>
  <c r="K227" i="73"/>
  <c r="J227" i="73"/>
  <c r="I227" i="73"/>
  <c r="H227" i="73"/>
  <c r="G227" i="73"/>
  <c r="F227" i="73"/>
  <c r="E227" i="73"/>
  <c r="D227" i="73"/>
  <c r="C227" i="73"/>
  <c r="B227" i="73"/>
  <c r="AI120" i="73"/>
  <c r="AH120" i="73"/>
  <c r="AI119" i="73"/>
  <c r="AH119" i="73"/>
  <c r="AI118" i="73"/>
  <c r="AH118" i="73"/>
  <c r="AI117" i="73"/>
  <c r="AH117" i="73"/>
  <c r="AI116" i="73"/>
  <c r="AH116" i="73"/>
  <c r="AI115" i="73"/>
  <c r="AH115" i="73"/>
  <c r="AI114" i="73"/>
  <c r="AH114" i="73"/>
  <c r="AI113" i="73"/>
  <c r="AH113" i="73"/>
  <c r="AB113" i="73"/>
  <c r="L113" i="73"/>
  <c r="K113" i="73"/>
  <c r="J113" i="73"/>
  <c r="I113" i="73"/>
  <c r="H113" i="73"/>
  <c r="G113" i="73"/>
  <c r="F113" i="73"/>
  <c r="E113" i="73"/>
  <c r="D113" i="73"/>
  <c r="C113" i="73"/>
  <c r="B113" i="73"/>
  <c r="AI112" i="73"/>
  <c r="AH112" i="73"/>
  <c r="AI111" i="73"/>
  <c r="AH111" i="73"/>
  <c r="AI110" i="73"/>
  <c r="AH110" i="73"/>
  <c r="AF110" i="73"/>
  <c r="AE110" i="73"/>
  <c r="AC110" i="73"/>
  <c r="AB110" i="73"/>
  <c r="AA110" i="73"/>
  <c r="Z110" i="73"/>
  <c r="Y110" i="73"/>
  <c r="X110" i="73"/>
  <c r="W110" i="73"/>
  <c r="V110" i="73"/>
  <c r="U110" i="73"/>
  <c r="T110" i="73"/>
  <c r="S110" i="73"/>
  <c r="R110" i="73"/>
  <c r="Q110" i="73"/>
  <c r="O110" i="73"/>
  <c r="N110" i="73"/>
  <c r="M110" i="73"/>
  <c r="L110" i="73"/>
  <c r="K110" i="73"/>
  <c r="J110" i="73"/>
  <c r="I110" i="73"/>
  <c r="H110" i="73"/>
  <c r="G110" i="73"/>
  <c r="F110" i="73"/>
  <c r="E110" i="73"/>
  <c r="D110" i="73"/>
  <c r="C110" i="73"/>
  <c r="B110" i="73"/>
  <c r="AI109" i="73"/>
  <c r="AH109" i="73"/>
  <c r="AI108" i="73"/>
  <c r="AH108" i="73"/>
  <c r="AI107" i="73"/>
  <c r="AH107" i="73"/>
  <c r="AI106" i="73"/>
  <c r="AH106" i="73"/>
  <c r="AI105" i="73"/>
  <c r="AH105" i="73"/>
  <c r="AI104" i="73"/>
  <c r="AH104" i="73"/>
  <c r="AI103" i="73"/>
  <c r="AH103" i="73"/>
  <c r="AI102" i="73"/>
  <c r="AH102" i="73"/>
  <c r="AI101" i="73"/>
  <c r="AH101" i="73"/>
  <c r="AI100" i="73"/>
  <c r="AH100" i="73"/>
  <c r="AF100" i="73"/>
  <c r="AE100" i="73"/>
  <c r="AD100" i="73"/>
  <c r="AC100" i="73"/>
  <c r="AB100" i="73"/>
  <c r="AA100" i="73"/>
  <c r="Z100" i="73"/>
  <c r="Y100" i="73"/>
  <c r="X100" i="73"/>
  <c r="W100" i="73"/>
  <c r="V100" i="73"/>
  <c r="U100" i="73"/>
  <c r="T100" i="73"/>
  <c r="S100" i="73"/>
  <c r="R100" i="73"/>
  <c r="Q100" i="73"/>
  <c r="P100" i="73"/>
  <c r="O100" i="73"/>
  <c r="N100" i="73"/>
  <c r="M100" i="73"/>
  <c r="L100" i="73"/>
  <c r="K100" i="73"/>
  <c r="J100" i="73"/>
  <c r="I100" i="73"/>
  <c r="H100" i="73"/>
  <c r="G100" i="73"/>
  <c r="F100" i="73"/>
  <c r="E100" i="73"/>
  <c r="D100" i="73"/>
  <c r="C100" i="73"/>
  <c r="B100" i="73"/>
  <c r="AI99" i="73"/>
  <c r="AH99" i="73"/>
  <c r="AF99" i="73"/>
  <c r="AE99" i="73"/>
  <c r="AD99" i="73"/>
  <c r="AC99" i="73"/>
  <c r="AB99" i="73"/>
  <c r="AA99" i="73"/>
  <c r="Z99" i="73"/>
  <c r="Y99" i="73"/>
  <c r="X99" i="73"/>
  <c r="W99" i="73"/>
  <c r="V99" i="73"/>
  <c r="U99" i="73"/>
  <c r="T99" i="73"/>
  <c r="S99" i="73"/>
  <c r="R99" i="73"/>
  <c r="Q99" i="73"/>
  <c r="P99" i="73"/>
  <c r="O99" i="73"/>
  <c r="N99" i="73"/>
  <c r="M99" i="73"/>
  <c r="L99" i="73"/>
  <c r="K99" i="73"/>
  <c r="J99" i="73"/>
  <c r="I99" i="73"/>
  <c r="H99" i="73"/>
  <c r="G99" i="73"/>
  <c r="F99" i="73"/>
  <c r="E99" i="73"/>
  <c r="D99" i="73"/>
  <c r="C99" i="73"/>
  <c r="B99" i="73"/>
  <c r="AI98" i="73"/>
  <c r="AH98" i="73"/>
  <c r="AI97" i="73"/>
  <c r="AH97" i="73"/>
  <c r="AI96" i="73"/>
  <c r="AH96" i="73"/>
  <c r="AI95" i="73"/>
  <c r="AH95" i="73"/>
  <c r="AI94" i="73"/>
  <c r="AH94" i="73"/>
  <c r="AI93" i="73"/>
  <c r="AH93" i="73"/>
  <c r="AI92" i="73"/>
  <c r="AH92" i="73"/>
  <c r="AF92" i="73"/>
  <c r="AE92" i="73"/>
  <c r="AD92" i="73"/>
  <c r="AC92" i="73"/>
  <c r="AB92" i="73"/>
  <c r="AA92" i="73"/>
  <c r="Z92" i="73"/>
  <c r="Y92" i="73"/>
  <c r="X92" i="73"/>
  <c r="W92" i="73"/>
  <c r="V92" i="73"/>
  <c r="U92" i="73"/>
  <c r="T92" i="73"/>
  <c r="S92" i="73"/>
  <c r="R92" i="73"/>
  <c r="Q92" i="73"/>
  <c r="P92" i="73"/>
  <c r="O92" i="73"/>
  <c r="N92" i="73"/>
  <c r="M92" i="73"/>
  <c r="L92" i="73"/>
  <c r="K92" i="73"/>
  <c r="J92" i="73"/>
  <c r="I92" i="73"/>
  <c r="H92" i="73"/>
  <c r="G92" i="73"/>
  <c r="F92" i="73"/>
  <c r="E92" i="73"/>
  <c r="D92" i="73"/>
  <c r="C92" i="73"/>
  <c r="B92" i="73"/>
  <c r="AI91" i="73"/>
  <c r="AH91" i="73"/>
  <c r="AG91" i="73"/>
  <c r="AF91" i="73"/>
  <c r="AE91" i="73"/>
  <c r="AD91" i="73"/>
  <c r="AC91" i="73"/>
  <c r="AB91" i="73"/>
  <c r="AA91" i="73"/>
  <c r="Z91" i="73"/>
  <c r="Y91" i="73"/>
  <c r="X91" i="73"/>
  <c r="W91" i="73"/>
  <c r="V91" i="73"/>
  <c r="U91" i="73"/>
  <c r="T91" i="73"/>
  <c r="S91" i="73"/>
  <c r="R91" i="73"/>
  <c r="Q91" i="73"/>
  <c r="P91" i="73"/>
  <c r="O91" i="73"/>
  <c r="N91" i="73"/>
  <c r="M91" i="73"/>
  <c r="L91" i="73"/>
  <c r="K91" i="73"/>
  <c r="J91" i="73"/>
  <c r="I91" i="73"/>
  <c r="H91" i="73"/>
  <c r="G91" i="73"/>
  <c r="F91" i="73"/>
  <c r="E91" i="73"/>
  <c r="D91" i="73"/>
  <c r="C91" i="73"/>
  <c r="B91" i="73"/>
  <c r="AI90" i="73"/>
  <c r="AH90" i="73"/>
  <c r="AI89" i="73"/>
  <c r="AH89" i="73"/>
  <c r="AG89" i="73"/>
  <c r="AF89" i="73"/>
  <c r="AE89" i="73"/>
  <c r="AD89" i="73"/>
  <c r="AC89" i="73"/>
  <c r="AB89" i="73"/>
  <c r="AA89" i="73"/>
  <c r="Z89" i="73"/>
  <c r="Y89" i="73"/>
  <c r="X89" i="73"/>
  <c r="W89" i="73"/>
  <c r="V89" i="73"/>
  <c r="U89" i="73"/>
  <c r="T89" i="73"/>
  <c r="S89" i="73"/>
  <c r="R89" i="73"/>
  <c r="Q89" i="73"/>
  <c r="P89" i="73"/>
  <c r="O89" i="73"/>
  <c r="N89" i="73"/>
  <c r="M89" i="73"/>
  <c r="L89" i="73"/>
  <c r="K89" i="73"/>
  <c r="J89" i="73"/>
  <c r="I89" i="73"/>
  <c r="H89" i="73"/>
  <c r="G89" i="73"/>
  <c r="F89" i="73"/>
  <c r="E89" i="73"/>
  <c r="D89" i="73"/>
  <c r="C89" i="73"/>
  <c r="B89" i="73"/>
  <c r="AI88" i="73"/>
  <c r="AH88" i="73"/>
  <c r="AG88" i="73"/>
  <c r="AI87" i="73"/>
  <c r="AH87" i="73"/>
  <c r="AI86" i="73"/>
  <c r="AH86" i="73"/>
  <c r="AI85" i="73"/>
  <c r="AH85" i="73"/>
  <c r="AI84" i="73"/>
  <c r="AH84" i="73"/>
  <c r="AG84" i="73"/>
  <c r="AF84" i="73"/>
  <c r="AE84" i="73"/>
  <c r="AD84" i="73"/>
  <c r="AC84" i="73"/>
  <c r="AB84" i="73"/>
  <c r="AA84" i="73"/>
  <c r="Z84" i="73"/>
  <c r="Y84" i="73"/>
  <c r="X84" i="73"/>
  <c r="W84" i="73"/>
  <c r="V84" i="73"/>
  <c r="U84" i="73"/>
  <c r="T84" i="73"/>
  <c r="S84" i="73"/>
  <c r="R84" i="73"/>
  <c r="Q84" i="73"/>
  <c r="P84" i="73"/>
  <c r="O84" i="73"/>
  <c r="N84" i="73"/>
  <c r="M84" i="73"/>
  <c r="L84" i="73"/>
  <c r="K84" i="73"/>
  <c r="J84" i="73"/>
  <c r="I84" i="73"/>
  <c r="H84" i="73"/>
  <c r="G84" i="73"/>
  <c r="F84" i="73"/>
  <c r="E84" i="73"/>
  <c r="D84" i="73"/>
  <c r="C84" i="73"/>
  <c r="B84" i="73"/>
  <c r="AI83" i="73"/>
  <c r="AH83" i="73"/>
  <c r="AI82" i="73"/>
  <c r="AH82" i="73"/>
  <c r="AI81" i="73"/>
  <c r="AH81" i="73"/>
  <c r="AI80" i="73"/>
  <c r="AH80" i="73"/>
  <c r="AI79" i="73"/>
  <c r="AH79" i="73"/>
  <c r="AI78" i="73"/>
  <c r="AH78" i="73"/>
  <c r="AI77" i="73"/>
  <c r="AH77" i="73"/>
  <c r="AI76" i="73"/>
  <c r="AH76" i="73"/>
  <c r="AI75" i="73"/>
  <c r="AH75" i="73"/>
  <c r="AI74" i="73"/>
  <c r="AH74" i="73"/>
  <c r="AI73" i="73"/>
  <c r="AH73" i="73"/>
  <c r="AI72" i="73"/>
  <c r="AH72" i="73"/>
  <c r="AG72" i="73"/>
  <c r="AF72" i="73"/>
  <c r="AE72" i="73"/>
  <c r="AD72" i="73"/>
  <c r="AC72" i="73"/>
  <c r="AB72" i="73"/>
  <c r="AA72" i="73"/>
  <c r="Z72" i="73"/>
  <c r="Y72" i="73"/>
  <c r="X72" i="73"/>
  <c r="W72" i="73"/>
  <c r="V72" i="73"/>
  <c r="U72" i="73"/>
  <c r="T72" i="73"/>
  <c r="S72" i="73"/>
  <c r="R72" i="73"/>
  <c r="Q72" i="73"/>
  <c r="P72" i="73"/>
  <c r="O72" i="73"/>
  <c r="N72" i="73"/>
  <c r="M72" i="73"/>
  <c r="L72" i="73"/>
  <c r="D72" i="73"/>
  <c r="C72" i="73"/>
  <c r="B72" i="73"/>
  <c r="AI71" i="73"/>
  <c r="AH71" i="73"/>
  <c r="AI70" i="73"/>
  <c r="AH70" i="73"/>
  <c r="AI69" i="73"/>
  <c r="AH69" i="73"/>
  <c r="AI68" i="73"/>
  <c r="AH68" i="73"/>
  <c r="AG68" i="73"/>
  <c r="AF68" i="73"/>
  <c r="AE68" i="73"/>
  <c r="AD68" i="73"/>
  <c r="AC68" i="73"/>
  <c r="AB68" i="73"/>
  <c r="AA68" i="73"/>
  <c r="Z68" i="73"/>
  <c r="Y68" i="73"/>
  <c r="X68" i="73"/>
  <c r="W68" i="73"/>
  <c r="V68" i="73"/>
  <c r="U68" i="73"/>
  <c r="T68" i="73"/>
  <c r="S68" i="73"/>
  <c r="R68" i="73"/>
  <c r="Q68" i="73"/>
  <c r="P68" i="73"/>
  <c r="O68" i="73"/>
  <c r="N68" i="73"/>
  <c r="M68" i="73"/>
  <c r="L68" i="73"/>
  <c r="K68" i="73"/>
  <c r="J68" i="73"/>
  <c r="I68" i="73"/>
  <c r="H68" i="73"/>
  <c r="G68" i="73"/>
  <c r="F68" i="73"/>
  <c r="E68" i="73"/>
  <c r="D68" i="73"/>
  <c r="C68" i="73"/>
  <c r="B68" i="73"/>
  <c r="AI67" i="73"/>
  <c r="AH67" i="73"/>
  <c r="AG67" i="73"/>
  <c r="AI66" i="73"/>
  <c r="AH66" i="73"/>
  <c r="AI65" i="73"/>
  <c r="AH65" i="73"/>
  <c r="AI64" i="73"/>
  <c r="AH64" i="73"/>
  <c r="AI63" i="73"/>
  <c r="AH63" i="73"/>
  <c r="AI62" i="73"/>
  <c r="AH62" i="73"/>
  <c r="AI61" i="73"/>
  <c r="AH61" i="73"/>
  <c r="AI60" i="73"/>
  <c r="AH60" i="73"/>
  <c r="AI59" i="73"/>
  <c r="AH59" i="73"/>
  <c r="AI58" i="73"/>
  <c r="AH58" i="73"/>
  <c r="AI57" i="73"/>
  <c r="AH57" i="73"/>
  <c r="AI56" i="73"/>
  <c r="AH56" i="73"/>
  <c r="AI55" i="73"/>
  <c r="AH55" i="73"/>
  <c r="AI54" i="73"/>
  <c r="AH54" i="73"/>
  <c r="AG54" i="73"/>
  <c r="AF54" i="73"/>
  <c r="AE54" i="73"/>
  <c r="AD54" i="73"/>
  <c r="AC54" i="73"/>
  <c r="AB54" i="73"/>
  <c r="AA54" i="73"/>
  <c r="Z54" i="73"/>
  <c r="Y54" i="73"/>
  <c r="X54" i="73"/>
  <c r="W54" i="73"/>
  <c r="V54" i="73"/>
  <c r="U54" i="73"/>
  <c r="T54" i="73"/>
  <c r="S54" i="73"/>
  <c r="R54" i="73"/>
  <c r="Q54" i="73"/>
  <c r="P54" i="73"/>
  <c r="O54" i="73"/>
  <c r="N54" i="73"/>
  <c r="M54" i="73"/>
  <c r="L54" i="73"/>
  <c r="K54" i="73"/>
  <c r="J54" i="73"/>
  <c r="I54" i="73"/>
  <c r="H54" i="73"/>
  <c r="G54" i="73"/>
  <c r="F54" i="73"/>
  <c r="E54" i="73"/>
  <c r="D54" i="73"/>
  <c r="C54" i="73"/>
  <c r="B54" i="73"/>
  <c r="AI53" i="73"/>
  <c r="AH53" i="73"/>
  <c r="AI52" i="73"/>
  <c r="AH52" i="73"/>
  <c r="AI51" i="73"/>
  <c r="AH51" i="73"/>
  <c r="AI50" i="73"/>
  <c r="AH50" i="73"/>
  <c r="AG50" i="73"/>
  <c r="AF50" i="73"/>
  <c r="AE50" i="73"/>
  <c r="AD50" i="73"/>
  <c r="AC50" i="73"/>
  <c r="AB50" i="73"/>
  <c r="AA50" i="73"/>
  <c r="Z50" i="73"/>
  <c r="Y50" i="73"/>
  <c r="X50" i="73"/>
  <c r="W50" i="73"/>
  <c r="V50" i="73"/>
  <c r="U50" i="73"/>
  <c r="T50" i="73"/>
  <c r="S50" i="73"/>
  <c r="R50" i="73"/>
  <c r="Q50" i="73"/>
  <c r="P50" i="73"/>
  <c r="O50" i="73"/>
  <c r="N50" i="73"/>
  <c r="M50" i="73"/>
  <c r="L50" i="73"/>
  <c r="K50" i="73"/>
  <c r="J50" i="73"/>
  <c r="I50" i="73"/>
  <c r="H50" i="73"/>
  <c r="G50" i="73"/>
  <c r="F50" i="73"/>
  <c r="E50" i="73"/>
  <c r="D50" i="73"/>
  <c r="C50" i="73"/>
  <c r="B50" i="73"/>
  <c r="AI49" i="73"/>
  <c r="AH49" i="73"/>
  <c r="AB49" i="73"/>
  <c r="AA49" i="73"/>
  <c r="Z49" i="73"/>
  <c r="Y49" i="73"/>
  <c r="X49" i="73"/>
  <c r="W49" i="73"/>
  <c r="V49" i="73"/>
  <c r="U49" i="73"/>
  <c r="T49" i="73"/>
  <c r="S49" i="73"/>
  <c r="R49" i="73"/>
  <c r="Q49" i="73"/>
  <c r="P49" i="73"/>
  <c r="O49" i="73"/>
  <c r="N49" i="73"/>
  <c r="M49" i="73"/>
  <c r="L49" i="73"/>
  <c r="K49" i="73"/>
  <c r="J49" i="73"/>
  <c r="I49" i="73"/>
  <c r="H49" i="73"/>
  <c r="G49" i="73"/>
  <c r="F49" i="73"/>
  <c r="E49" i="73"/>
  <c r="D49" i="73"/>
  <c r="C49" i="73"/>
  <c r="B49" i="73"/>
  <c r="AI48" i="73"/>
  <c r="AH48" i="73"/>
  <c r="AI47" i="73"/>
  <c r="AH47" i="73"/>
  <c r="AI46" i="73"/>
  <c r="AH46" i="73"/>
  <c r="AI45" i="73"/>
  <c r="AH45" i="73"/>
  <c r="AI44" i="73"/>
  <c r="AH44" i="73"/>
  <c r="AI43" i="73"/>
  <c r="AH43" i="73"/>
  <c r="AI42" i="73"/>
  <c r="AH42" i="73"/>
  <c r="AI41" i="73"/>
  <c r="AH41" i="73"/>
  <c r="AI40" i="73"/>
  <c r="AH40" i="73"/>
  <c r="AI39" i="73"/>
  <c r="AH39" i="73"/>
  <c r="AI38" i="73"/>
  <c r="AH38" i="73"/>
  <c r="AI37" i="73"/>
  <c r="AH37" i="73"/>
  <c r="AI36" i="73"/>
  <c r="AH36" i="73"/>
  <c r="AI35" i="73"/>
  <c r="AH35" i="73"/>
  <c r="AI34" i="73"/>
  <c r="AH34" i="73"/>
  <c r="AI33" i="73"/>
  <c r="AH33" i="73"/>
  <c r="AI32" i="73"/>
  <c r="AH32" i="73"/>
  <c r="AI31" i="73"/>
  <c r="AH31" i="73"/>
  <c r="AI30" i="73"/>
  <c r="AH30" i="73"/>
  <c r="AI29" i="73"/>
  <c r="AH29" i="73"/>
  <c r="AI28" i="73"/>
  <c r="AH28" i="73"/>
  <c r="AI27" i="73"/>
  <c r="AH27" i="73"/>
  <c r="AI26" i="73"/>
  <c r="AH26" i="73"/>
  <c r="AI25" i="73"/>
  <c r="AH25" i="73"/>
  <c r="AI24" i="73"/>
  <c r="AH24" i="73"/>
  <c r="AI23" i="73"/>
  <c r="AH23" i="73"/>
  <c r="AI22" i="73"/>
  <c r="AH22" i="73"/>
  <c r="AI21" i="73"/>
  <c r="AH21" i="73"/>
  <c r="AI20" i="73"/>
  <c r="AH20" i="73"/>
  <c r="AI19" i="73"/>
  <c r="AH19" i="73"/>
  <c r="AI18" i="73"/>
  <c r="AH18" i="73"/>
  <c r="AI17" i="73"/>
  <c r="AH17" i="73"/>
  <c r="AI16" i="73"/>
  <c r="AH16" i="73"/>
  <c r="AI15" i="73"/>
  <c r="AH15" i="73"/>
  <c r="AI14" i="73"/>
  <c r="AH14" i="73"/>
  <c r="AI13" i="73"/>
  <c r="AH13" i="73"/>
  <c r="AI12" i="73"/>
  <c r="AH12" i="73"/>
  <c r="AI11" i="73"/>
  <c r="AH11" i="73"/>
  <c r="AF7" i="73"/>
  <c r="AE7" i="73"/>
  <c r="AD7" i="73"/>
  <c r="AC7" i="73"/>
  <c r="AB7" i="73"/>
  <c r="AA7" i="73"/>
  <c r="Z7" i="73"/>
  <c r="Y7" i="73"/>
  <c r="X7" i="73"/>
  <c r="W7" i="73"/>
  <c r="V7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F7" i="73"/>
  <c r="E7" i="73"/>
  <c r="D7" i="73"/>
  <c r="C7" i="73"/>
  <c r="B7" i="73"/>
  <c r="A7" i="73"/>
  <c r="AG6" i="73"/>
  <c r="K6" i="73"/>
  <c r="AF5" i="73"/>
  <c r="AE5" i="73"/>
  <c r="AD5" i="73"/>
  <c r="AC5" i="73"/>
  <c r="AB5" i="73"/>
  <c r="AA5" i="73"/>
  <c r="Z5" i="73"/>
  <c r="Y5" i="73"/>
  <c r="X5" i="73"/>
  <c r="W5" i="73"/>
  <c r="V5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F5" i="73"/>
  <c r="E5" i="73"/>
  <c r="D5" i="73"/>
  <c r="C5" i="73"/>
  <c r="B5" i="73"/>
  <c r="AG4" i="73"/>
  <c r="K4" i="73"/>
  <c r="E4" i="73"/>
  <c r="H4" i="73" s="1"/>
  <c r="B4" i="73"/>
  <c r="S246" i="73" s="1"/>
  <c r="AG3" i="73"/>
  <c r="AG2" i="73"/>
  <c r="AF274" i="72"/>
  <c r="AE274" i="72"/>
  <c r="AD274" i="72"/>
  <c r="AC274" i="72"/>
  <c r="AB274" i="72"/>
  <c r="AA274" i="72"/>
  <c r="Z274" i="72"/>
  <c r="Y274" i="72"/>
  <c r="X274" i="72"/>
  <c r="W274" i="72"/>
  <c r="V274" i="72"/>
  <c r="U274" i="72"/>
  <c r="T274" i="72"/>
  <c r="S274" i="72"/>
  <c r="R274" i="72"/>
  <c r="Q274" i="72"/>
  <c r="P274" i="72"/>
  <c r="O274" i="72"/>
  <c r="N274" i="72"/>
  <c r="M274" i="72"/>
  <c r="L274" i="72"/>
  <c r="K274" i="72"/>
  <c r="J274" i="72"/>
  <c r="I274" i="72"/>
  <c r="H274" i="72"/>
  <c r="G274" i="72"/>
  <c r="F274" i="72"/>
  <c r="E274" i="72"/>
  <c r="D274" i="72"/>
  <c r="C274" i="72"/>
  <c r="B274" i="72"/>
  <c r="A274" i="72"/>
  <c r="AF273" i="72"/>
  <c r="AE273" i="72"/>
  <c r="AD273" i="72"/>
  <c r="AC273" i="72"/>
  <c r="AB273" i="72"/>
  <c r="AA273" i="72"/>
  <c r="Z273" i="72"/>
  <c r="Y273" i="72"/>
  <c r="X273" i="72"/>
  <c r="W273" i="72"/>
  <c r="V273" i="72"/>
  <c r="U273" i="72"/>
  <c r="T273" i="72"/>
  <c r="S273" i="72"/>
  <c r="R273" i="72"/>
  <c r="Q273" i="72"/>
  <c r="P273" i="72"/>
  <c r="O273" i="72"/>
  <c r="N273" i="72"/>
  <c r="M273" i="72"/>
  <c r="L273" i="72"/>
  <c r="K273" i="72"/>
  <c r="J273" i="72"/>
  <c r="I273" i="72"/>
  <c r="H273" i="72"/>
  <c r="G273" i="72"/>
  <c r="F273" i="72"/>
  <c r="E273" i="72"/>
  <c r="D273" i="72"/>
  <c r="C273" i="72"/>
  <c r="B273" i="72"/>
  <c r="A273" i="72"/>
  <c r="AF272" i="72"/>
  <c r="AE272" i="72"/>
  <c r="AD272" i="72"/>
  <c r="AC272" i="72"/>
  <c r="AB272" i="72"/>
  <c r="AA272" i="72"/>
  <c r="Z272" i="72"/>
  <c r="Y272" i="72"/>
  <c r="X272" i="72"/>
  <c r="W272" i="72"/>
  <c r="V272" i="72"/>
  <c r="U272" i="72"/>
  <c r="T272" i="72"/>
  <c r="S272" i="72"/>
  <c r="R272" i="72"/>
  <c r="Q272" i="72"/>
  <c r="P272" i="72"/>
  <c r="O272" i="72"/>
  <c r="N272" i="72"/>
  <c r="M272" i="72"/>
  <c r="L272" i="72"/>
  <c r="K272" i="72"/>
  <c r="J272" i="72"/>
  <c r="I272" i="72"/>
  <c r="H272" i="72"/>
  <c r="G272" i="72"/>
  <c r="F272" i="72"/>
  <c r="E272" i="72"/>
  <c r="D272" i="72"/>
  <c r="C272" i="72"/>
  <c r="B272" i="72"/>
  <c r="A272" i="72"/>
  <c r="AF271" i="72"/>
  <c r="AE271" i="72"/>
  <c r="AD271" i="72"/>
  <c r="AC271" i="72"/>
  <c r="AB271" i="72"/>
  <c r="AA271" i="72"/>
  <c r="Z271" i="72"/>
  <c r="Y271" i="72"/>
  <c r="X271" i="72"/>
  <c r="W271" i="72"/>
  <c r="V271" i="72"/>
  <c r="U271" i="72"/>
  <c r="T271" i="72"/>
  <c r="S271" i="72"/>
  <c r="R271" i="72"/>
  <c r="Q271" i="72"/>
  <c r="P271" i="72"/>
  <c r="O271" i="72"/>
  <c r="N271" i="72"/>
  <c r="M271" i="72"/>
  <c r="L271" i="72"/>
  <c r="K271" i="72"/>
  <c r="J271" i="72"/>
  <c r="I271" i="72"/>
  <c r="H271" i="72"/>
  <c r="G271" i="72"/>
  <c r="F271" i="72"/>
  <c r="E271" i="72"/>
  <c r="D271" i="72"/>
  <c r="C271" i="72"/>
  <c r="B271" i="72"/>
  <c r="A271" i="72"/>
  <c r="AF270" i="72"/>
  <c r="AE270" i="72"/>
  <c r="AD270" i="72"/>
  <c r="AC270" i="72"/>
  <c r="AB270" i="72"/>
  <c r="AA270" i="72"/>
  <c r="Z270" i="72"/>
  <c r="Y270" i="72"/>
  <c r="X270" i="72"/>
  <c r="W270" i="72"/>
  <c r="V270" i="72"/>
  <c r="U270" i="72"/>
  <c r="T270" i="72"/>
  <c r="S270" i="72"/>
  <c r="R270" i="72"/>
  <c r="Q270" i="72"/>
  <c r="P270" i="72"/>
  <c r="O270" i="72"/>
  <c r="N270" i="72"/>
  <c r="M270" i="72"/>
  <c r="L270" i="72"/>
  <c r="K270" i="72"/>
  <c r="J270" i="72"/>
  <c r="I270" i="72"/>
  <c r="H270" i="72"/>
  <c r="G270" i="72"/>
  <c r="F270" i="72"/>
  <c r="E270" i="72"/>
  <c r="D270" i="72"/>
  <c r="C270" i="72"/>
  <c r="B270" i="72"/>
  <c r="AX249" i="72"/>
  <c r="AW249" i="72"/>
  <c r="AV249" i="72"/>
  <c r="AU249" i="72"/>
  <c r="AT249" i="72"/>
  <c r="AS249" i="72"/>
  <c r="AR249" i="72"/>
  <c r="AQ249" i="72"/>
  <c r="AP249" i="72"/>
  <c r="AO249" i="72"/>
  <c r="AN249" i="72"/>
  <c r="AM249" i="72"/>
  <c r="AL249" i="72"/>
  <c r="AK249" i="72"/>
  <c r="AJ249" i="72"/>
  <c r="AI249" i="72"/>
  <c r="AH249" i="72"/>
  <c r="AG249" i="72"/>
  <c r="AF249" i="72"/>
  <c r="AE249" i="72"/>
  <c r="AD249" i="72"/>
  <c r="AC249" i="72"/>
  <c r="AB249" i="72"/>
  <c r="AA249" i="72"/>
  <c r="Z249" i="72"/>
  <c r="Y249" i="72"/>
  <c r="X249" i="72"/>
  <c r="W249" i="72"/>
  <c r="V249" i="72"/>
  <c r="U249" i="72"/>
  <c r="T249" i="72"/>
  <c r="S245" i="72"/>
  <c r="C244" i="72"/>
  <c r="B244" i="72"/>
  <c r="AG235" i="72"/>
  <c r="AF235" i="72"/>
  <c r="AE235" i="72"/>
  <c r="AD235" i="72"/>
  <c r="AC235" i="72"/>
  <c r="AB235" i="72"/>
  <c r="AA235" i="72"/>
  <c r="Z235" i="72"/>
  <c r="Y235" i="72"/>
  <c r="X235" i="72"/>
  <c r="W235" i="72"/>
  <c r="V235" i="72"/>
  <c r="U235" i="72"/>
  <c r="T235" i="72"/>
  <c r="S235" i="72"/>
  <c r="R235" i="72"/>
  <c r="Q235" i="72"/>
  <c r="H235" i="72"/>
  <c r="G235" i="72"/>
  <c r="F235" i="72"/>
  <c r="E235" i="72"/>
  <c r="D235" i="72"/>
  <c r="C235" i="72"/>
  <c r="B235" i="72"/>
  <c r="P234" i="72"/>
  <c r="O234" i="72"/>
  <c r="N234" i="72"/>
  <c r="M234" i="72"/>
  <c r="L234" i="72"/>
  <c r="K234" i="72"/>
  <c r="J234" i="72"/>
  <c r="I234" i="72"/>
  <c r="H234" i="72"/>
  <c r="G234" i="72"/>
  <c r="F234" i="72"/>
  <c r="E234" i="72"/>
  <c r="D234" i="72"/>
  <c r="B234" i="72"/>
  <c r="P233" i="72"/>
  <c r="O233" i="72"/>
  <c r="N233" i="72"/>
  <c r="M233" i="72"/>
  <c r="L233" i="72"/>
  <c r="K233" i="72"/>
  <c r="J233" i="72"/>
  <c r="I233" i="72"/>
  <c r="H233" i="72"/>
  <c r="G233" i="72"/>
  <c r="F233" i="72"/>
  <c r="E233" i="72"/>
  <c r="D233" i="72"/>
  <c r="B233" i="72"/>
  <c r="P232" i="72"/>
  <c r="O232" i="72"/>
  <c r="N232" i="72"/>
  <c r="M232" i="72"/>
  <c r="L232" i="72"/>
  <c r="K232" i="72"/>
  <c r="J232" i="72"/>
  <c r="I232" i="72"/>
  <c r="H232" i="72"/>
  <c r="G232" i="72"/>
  <c r="F232" i="72"/>
  <c r="E232" i="72"/>
  <c r="D232" i="72"/>
  <c r="B232" i="72"/>
  <c r="H231" i="72"/>
  <c r="G231" i="72"/>
  <c r="F231" i="72"/>
  <c r="E231" i="72"/>
  <c r="D231" i="72"/>
  <c r="B231" i="72"/>
  <c r="P230" i="72"/>
  <c r="O230" i="72"/>
  <c r="N230" i="72"/>
  <c r="M230" i="72"/>
  <c r="L230" i="72"/>
  <c r="K230" i="72"/>
  <c r="J230" i="72"/>
  <c r="I230" i="72"/>
  <c r="H230" i="72"/>
  <c r="G230" i="72"/>
  <c r="F230" i="72"/>
  <c r="E230" i="72"/>
  <c r="D230" i="72"/>
  <c r="B230" i="72"/>
  <c r="P229" i="72"/>
  <c r="O229" i="72"/>
  <c r="N229" i="72"/>
  <c r="M229" i="72"/>
  <c r="L229" i="72"/>
  <c r="K229" i="72"/>
  <c r="J229" i="72"/>
  <c r="I229" i="72"/>
  <c r="H229" i="72"/>
  <c r="G229" i="72"/>
  <c r="F229" i="72"/>
  <c r="E229" i="72"/>
  <c r="D229" i="72"/>
  <c r="B229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N227" i="72"/>
  <c r="M227" i="72"/>
  <c r="L227" i="72"/>
  <c r="K227" i="72"/>
  <c r="J227" i="72"/>
  <c r="I227" i="72"/>
  <c r="H227" i="72"/>
  <c r="G227" i="72"/>
  <c r="F227" i="72"/>
  <c r="E227" i="72"/>
  <c r="D227" i="72"/>
  <c r="C227" i="72"/>
  <c r="B227" i="72"/>
  <c r="AI120" i="72"/>
  <c r="AH120" i="72"/>
  <c r="AI119" i="72"/>
  <c r="AH119" i="72"/>
  <c r="AI118" i="72"/>
  <c r="AH118" i="72"/>
  <c r="AI117" i="72"/>
  <c r="AH117" i="72"/>
  <c r="AI116" i="72"/>
  <c r="AH116" i="72"/>
  <c r="AI115" i="72"/>
  <c r="AH115" i="72"/>
  <c r="AI114" i="72"/>
  <c r="AH114" i="72"/>
  <c r="AI113" i="72"/>
  <c r="AH113" i="72"/>
  <c r="AF113" i="72"/>
  <c r="AD113" i="72"/>
  <c r="AC113" i="72"/>
  <c r="AB113" i="72"/>
  <c r="AI112" i="72"/>
  <c r="AH112" i="72"/>
  <c r="AI111" i="72"/>
  <c r="AH111" i="72"/>
  <c r="AI110" i="72"/>
  <c r="AH110" i="72"/>
  <c r="AF110" i="72"/>
  <c r="AE110" i="72"/>
  <c r="AC110" i="72"/>
  <c r="AB110" i="72"/>
  <c r="AA110" i="72"/>
  <c r="Z110" i="72"/>
  <c r="Y110" i="72"/>
  <c r="X110" i="72"/>
  <c r="W110" i="72"/>
  <c r="V110" i="72"/>
  <c r="U110" i="72"/>
  <c r="T110" i="72"/>
  <c r="S110" i="72"/>
  <c r="R110" i="72"/>
  <c r="Q110" i="72"/>
  <c r="P110" i="72"/>
  <c r="O110" i="72"/>
  <c r="N110" i="72"/>
  <c r="M110" i="72"/>
  <c r="L110" i="72"/>
  <c r="K110" i="72"/>
  <c r="J110" i="72"/>
  <c r="I110" i="72"/>
  <c r="H110" i="72"/>
  <c r="G110" i="72"/>
  <c r="F110" i="72"/>
  <c r="E110" i="72"/>
  <c r="D110" i="72"/>
  <c r="C110" i="72"/>
  <c r="AI109" i="72"/>
  <c r="AH109" i="72"/>
  <c r="AI108" i="72"/>
  <c r="AH108" i="72"/>
  <c r="AI107" i="72"/>
  <c r="AH107" i="72"/>
  <c r="AI106" i="72"/>
  <c r="AH106" i="72"/>
  <c r="AI105" i="72"/>
  <c r="AH105" i="72"/>
  <c r="AI104" i="72"/>
  <c r="AH104" i="72"/>
  <c r="AI103" i="72"/>
  <c r="AH103" i="72"/>
  <c r="AI102" i="72"/>
  <c r="AH102" i="72"/>
  <c r="AI101" i="72"/>
  <c r="AH101" i="72"/>
  <c r="AI100" i="72"/>
  <c r="AH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K100" i="72"/>
  <c r="J100" i="72"/>
  <c r="I100" i="72"/>
  <c r="H100" i="72"/>
  <c r="G100" i="72"/>
  <c r="F100" i="72"/>
  <c r="E100" i="72"/>
  <c r="D100" i="72"/>
  <c r="C100" i="72"/>
  <c r="AI99" i="72"/>
  <c r="AH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J99" i="72"/>
  <c r="I99" i="72"/>
  <c r="H99" i="72"/>
  <c r="G99" i="72"/>
  <c r="F99" i="72"/>
  <c r="E99" i="72"/>
  <c r="D99" i="72"/>
  <c r="C99" i="72"/>
  <c r="AI98" i="72"/>
  <c r="AH98" i="72"/>
  <c r="AI97" i="72"/>
  <c r="AH97" i="72"/>
  <c r="AI96" i="72"/>
  <c r="AH96" i="72"/>
  <c r="AI95" i="72"/>
  <c r="AH95" i="72"/>
  <c r="AI94" i="72"/>
  <c r="AH94" i="72"/>
  <c r="AI93" i="72"/>
  <c r="AH93" i="72"/>
  <c r="AI92" i="72"/>
  <c r="AH92" i="72"/>
  <c r="AF92" i="72"/>
  <c r="AE92" i="72"/>
  <c r="AD92" i="72"/>
  <c r="AC92" i="72"/>
  <c r="AB92" i="72"/>
  <c r="AA92" i="72"/>
  <c r="Z92" i="72"/>
  <c r="Y92" i="72"/>
  <c r="X92" i="72"/>
  <c r="W92" i="72"/>
  <c r="V92" i="72"/>
  <c r="U92" i="72"/>
  <c r="T92" i="72"/>
  <c r="S92" i="72"/>
  <c r="R92" i="72"/>
  <c r="Q92" i="72"/>
  <c r="P92" i="72"/>
  <c r="O92" i="72"/>
  <c r="N92" i="72"/>
  <c r="M92" i="72"/>
  <c r="L92" i="72"/>
  <c r="K92" i="72"/>
  <c r="J92" i="72"/>
  <c r="I92" i="72"/>
  <c r="H92" i="72"/>
  <c r="G92" i="72"/>
  <c r="F92" i="72"/>
  <c r="E92" i="72"/>
  <c r="D92" i="72"/>
  <c r="C92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AI90" i="72"/>
  <c r="AH90" i="72"/>
  <c r="AI89" i="72"/>
  <c r="AH89" i="72"/>
  <c r="AG89" i="72"/>
  <c r="AF89" i="72"/>
  <c r="AE89" i="72"/>
  <c r="AD89" i="72"/>
  <c r="AC89" i="72"/>
  <c r="AB89" i="72"/>
  <c r="AA89" i="72"/>
  <c r="Z89" i="72"/>
  <c r="Y89" i="72"/>
  <c r="X89" i="72"/>
  <c r="W89" i="72"/>
  <c r="V89" i="72"/>
  <c r="U89" i="72"/>
  <c r="T89" i="72"/>
  <c r="S89" i="72"/>
  <c r="R89" i="72"/>
  <c r="Q89" i="72"/>
  <c r="P89" i="72"/>
  <c r="O89" i="72"/>
  <c r="N89" i="72"/>
  <c r="M89" i="72"/>
  <c r="L89" i="72"/>
  <c r="K89" i="72"/>
  <c r="J89" i="72"/>
  <c r="I89" i="72"/>
  <c r="H89" i="72"/>
  <c r="G89" i="72"/>
  <c r="F89" i="72"/>
  <c r="E89" i="72"/>
  <c r="D89" i="72"/>
  <c r="C89" i="72"/>
  <c r="AI88" i="72"/>
  <c r="AH88" i="72"/>
  <c r="AG88" i="72"/>
  <c r="AI87" i="72"/>
  <c r="AH87" i="72"/>
  <c r="AI86" i="72"/>
  <c r="AH86" i="72"/>
  <c r="AI85" i="72"/>
  <c r="AH85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G84" i="72"/>
  <c r="F84" i="72"/>
  <c r="E84" i="72"/>
  <c r="D84" i="72"/>
  <c r="C84" i="72"/>
  <c r="AI83" i="72"/>
  <c r="AH83" i="72"/>
  <c r="AI82" i="72"/>
  <c r="AH82" i="72"/>
  <c r="AI81" i="72"/>
  <c r="AH81" i="72"/>
  <c r="AI80" i="72"/>
  <c r="AH80" i="72"/>
  <c r="AI79" i="72"/>
  <c r="AH79" i="72"/>
  <c r="AI78" i="72"/>
  <c r="AH78" i="72"/>
  <c r="AI77" i="72"/>
  <c r="AH77" i="72"/>
  <c r="AI76" i="72"/>
  <c r="AH76" i="72"/>
  <c r="AI75" i="72"/>
  <c r="AH75" i="72"/>
  <c r="AI74" i="72"/>
  <c r="AH74" i="72"/>
  <c r="AI73" i="72"/>
  <c r="AH73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AI71" i="72"/>
  <c r="AH71" i="72"/>
  <c r="AI70" i="72"/>
  <c r="AH70" i="72"/>
  <c r="AI69" i="72"/>
  <c r="AH69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D68" i="72"/>
  <c r="C68" i="72"/>
  <c r="AI67" i="72"/>
  <c r="AH67" i="72"/>
  <c r="AG67" i="72"/>
  <c r="AI66" i="72"/>
  <c r="AH66" i="72"/>
  <c r="AI65" i="72"/>
  <c r="AH65" i="72"/>
  <c r="AI64" i="72"/>
  <c r="AH64" i="72"/>
  <c r="AI63" i="72"/>
  <c r="AH63" i="72"/>
  <c r="AI62" i="72"/>
  <c r="AH62" i="72"/>
  <c r="AI61" i="72"/>
  <c r="AH61" i="72"/>
  <c r="AI60" i="72"/>
  <c r="AH60" i="72"/>
  <c r="AI59" i="72"/>
  <c r="AH59" i="72"/>
  <c r="AI58" i="72"/>
  <c r="AH58" i="72"/>
  <c r="AI57" i="72"/>
  <c r="AH57" i="72"/>
  <c r="AI56" i="72"/>
  <c r="AH56" i="72"/>
  <c r="AI55" i="72"/>
  <c r="AH55" i="72"/>
  <c r="AI54" i="72"/>
  <c r="AH54" i="72"/>
  <c r="AG54" i="72"/>
  <c r="AF54" i="72"/>
  <c r="AE54" i="72"/>
  <c r="AD54" i="72"/>
  <c r="AC54" i="72"/>
  <c r="AB54" i="72"/>
  <c r="AA54" i="72"/>
  <c r="Z54" i="72"/>
  <c r="Y54" i="72"/>
  <c r="X54" i="72"/>
  <c r="W54" i="72"/>
  <c r="V54" i="72"/>
  <c r="U54" i="72"/>
  <c r="T54" i="72"/>
  <c r="S54" i="72"/>
  <c r="R54" i="72"/>
  <c r="Q54" i="72"/>
  <c r="P54" i="72"/>
  <c r="O54" i="72"/>
  <c r="N54" i="72"/>
  <c r="M54" i="72"/>
  <c r="L54" i="72"/>
  <c r="K54" i="72"/>
  <c r="J54" i="72"/>
  <c r="I54" i="72"/>
  <c r="H54" i="72"/>
  <c r="G54" i="72"/>
  <c r="F54" i="72"/>
  <c r="E54" i="72"/>
  <c r="D54" i="72"/>
  <c r="C54" i="72"/>
  <c r="AI53" i="72"/>
  <c r="AH53" i="72"/>
  <c r="AI52" i="72"/>
  <c r="AH52" i="72"/>
  <c r="AI51" i="72"/>
  <c r="AH51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E50" i="72"/>
  <c r="D50" i="72"/>
  <c r="C50" i="72"/>
  <c r="AI49" i="72"/>
  <c r="AH49" i="72"/>
  <c r="AF49" i="72"/>
  <c r="AE49" i="72"/>
  <c r="AD49" i="72"/>
  <c r="AC49" i="72"/>
  <c r="AB49" i="72"/>
  <c r="U49" i="72"/>
  <c r="T49" i="72"/>
  <c r="S49" i="72"/>
  <c r="R49" i="72"/>
  <c r="Q49" i="72"/>
  <c r="P49" i="72"/>
  <c r="O49" i="72"/>
  <c r="AI48" i="72"/>
  <c r="AH48" i="72"/>
  <c r="AI47" i="72"/>
  <c r="AH47" i="72"/>
  <c r="AI46" i="72"/>
  <c r="AH46" i="72"/>
  <c r="AI45" i="72"/>
  <c r="AH45" i="72"/>
  <c r="AI44" i="72"/>
  <c r="AH44" i="72"/>
  <c r="AI43" i="72"/>
  <c r="AH43" i="72"/>
  <c r="AI42" i="72"/>
  <c r="AH42" i="72"/>
  <c r="AI41" i="72"/>
  <c r="AH41" i="72"/>
  <c r="AI40" i="72"/>
  <c r="AH40" i="72"/>
  <c r="AI39" i="72"/>
  <c r="AH39" i="72"/>
  <c r="AI38" i="72"/>
  <c r="AH38" i="72"/>
  <c r="AI37" i="72"/>
  <c r="AH37" i="72"/>
  <c r="AI36" i="72"/>
  <c r="AH36" i="72"/>
  <c r="AI35" i="72"/>
  <c r="AH35" i="72"/>
  <c r="AI34" i="72"/>
  <c r="AH34" i="72"/>
  <c r="AI33" i="72"/>
  <c r="AH33" i="72"/>
  <c r="AI32" i="72"/>
  <c r="AH32" i="72"/>
  <c r="AI31" i="72"/>
  <c r="AH31" i="72"/>
  <c r="AI30" i="72"/>
  <c r="AH30" i="72"/>
  <c r="AI29" i="72"/>
  <c r="AH29" i="72"/>
  <c r="AI28" i="72"/>
  <c r="AH28" i="72"/>
  <c r="AI27" i="72"/>
  <c r="AH27" i="72"/>
  <c r="AI26" i="72"/>
  <c r="AH26" i="72"/>
  <c r="AI25" i="72"/>
  <c r="AH25" i="72"/>
  <c r="AI24" i="72"/>
  <c r="AH24" i="72"/>
  <c r="AI23" i="72"/>
  <c r="AH23" i="72"/>
  <c r="AI22" i="72"/>
  <c r="AH22" i="72"/>
  <c r="AI21" i="72"/>
  <c r="AH21" i="72"/>
  <c r="AI20" i="72"/>
  <c r="AH20" i="72"/>
  <c r="AI19" i="72"/>
  <c r="AH19" i="72"/>
  <c r="AI18" i="72"/>
  <c r="AH18" i="72"/>
  <c r="AI17" i="72"/>
  <c r="AH17" i="72"/>
  <c r="AI16" i="72"/>
  <c r="AH16" i="72"/>
  <c r="AI15" i="72"/>
  <c r="AH15" i="72"/>
  <c r="AI14" i="72"/>
  <c r="AH14" i="72"/>
  <c r="AI13" i="72"/>
  <c r="AH13" i="72"/>
  <c r="AI12" i="72"/>
  <c r="AH12" i="72"/>
  <c r="AI11" i="72"/>
  <c r="AH11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C7" i="72"/>
  <c r="B7" i="72"/>
  <c r="A7" i="72"/>
  <c r="AG6" i="72"/>
  <c r="K6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C5" i="72"/>
  <c r="B5" i="72"/>
  <c r="AG4" i="72"/>
  <c r="K4" i="72"/>
  <c r="E4" i="72"/>
  <c r="H4" i="72" s="1"/>
  <c r="B4" i="72"/>
  <c r="S246" i="72" s="1"/>
  <c r="AG3" i="72"/>
  <c r="AG2" i="72"/>
  <c r="AF274" i="71"/>
  <c r="AE274" i="71"/>
  <c r="AD274" i="71"/>
  <c r="AC274" i="71"/>
  <c r="AB274" i="71"/>
  <c r="AA274" i="71"/>
  <c r="Z274" i="71"/>
  <c r="Y274" i="71"/>
  <c r="X274" i="71"/>
  <c r="W274" i="71"/>
  <c r="V274" i="71"/>
  <c r="U274" i="71"/>
  <c r="T274" i="71"/>
  <c r="S274" i="71"/>
  <c r="R274" i="71"/>
  <c r="Q274" i="71"/>
  <c r="P274" i="71"/>
  <c r="O274" i="71"/>
  <c r="N274" i="71"/>
  <c r="M274" i="71"/>
  <c r="L274" i="71"/>
  <c r="K274" i="71"/>
  <c r="J274" i="71"/>
  <c r="I274" i="71"/>
  <c r="H274" i="71"/>
  <c r="G274" i="71"/>
  <c r="F274" i="71"/>
  <c r="E274" i="71"/>
  <c r="D274" i="71"/>
  <c r="C274" i="71"/>
  <c r="B274" i="71"/>
  <c r="A274" i="71"/>
  <c r="AF273" i="71"/>
  <c r="AE273" i="71"/>
  <c r="AD273" i="71"/>
  <c r="AC273" i="71"/>
  <c r="AB273" i="71"/>
  <c r="AA273" i="71"/>
  <c r="Z273" i="71"/>
  <c r="Y273" i="71"/>
  <c r="X273" i="71"/>
  <c r="W273" i="71"/>
  <c r="V273" i="71"/>
  <c r="U273" i="71"/>
  <c r="T273" i="71"/>
  <c r="S273" i="71"/>
  <c r="R273" i="71"/>
  <c r="Q273" i="71"/>
  <c r="P273" i="71"/>
  <c r="O273" i="71"/>
  <c r="N273" i="71"/>
  <c r="M273" i="71"/>
  <c r="L273" i="71"/>
  <c r="K273" i="71"/>
  <c r="J273" i="71"/>
  <c r="I273" i="71"/>
  <c r="H273" i="71"/>
  <c r="G273" i="71"/>
  <c r="F273" i="71"/>
  <c r="E273" i="71"/>
  <c r="D273" i="71"/>
  <c r="C273" i="71"/>
  <c r="B273" i="71"/>
  <c r="A273" i="71"/>
  <c r="AF272" i="71"/>
  <c r="AE272" i="71"/>
  <c r="AD272" i="71"/>
  <c r="AC272" i="71"/>
  <c r="AB272" i="71"/>
  <c r="AA272" i="71"/>
  <c r="Z272" i="71"/>
  <c r="Y272" i="71"/>
  <c r="X272" i="71"/>
  <c r="W272" i="71"/>
  <c r="V272" i="71"/>
  <c r="U272" i="71"/>
  <c r="T272" i="71"/>
  <c r="S272" i="71"/>
  <c r="R272" i="71"/>
  <c r="Q272" i="71"/>
  <c r="P272" i="71"/>
  <c r="O272" i="71"/>
  <c r="N272" i="71"/>
  <c r="M272" i="71"/>
  <c r="L272" i="71"/>
  <c r="K272" i="71"/>
  <c r="J272" i="71"/>
  <c r="I272" i="71"/>
  <c r="H272" i="71"/>
  <c r="G272" i="71"/>
  <c r="F272" i="71"/>
  <c r="E272" i="71"/>
  <c r="D272" i="71"/>
  <c r="C272" i="71"/>
  <c r="B272" i="71"/>
  <c r="A272" i="71"/>
  <c r="AF271" i="71"/>
  <c r="AE271" i="71"/>
  <c r="AD271" i="71"/>
  <c r="AC271" i="71"/>
  <c r="AB271" i="71"/>
  <c r="AA271" i="71"/>
  <c r="Z271" i="71"/>
  <c r="Y271" i="71"/>
  <c r="X271" i="71"/>
  <c r="W271" i="71"/>
  <c r="V271" i="71"/>
  <c r="U271" i="71"/>
  <c r="T271" i="71"/>
  <c r="S271" i="71"/>
  <c r="R271" i="71"/>
  <c r="Q271" i="71"/>
  <c r="P271" i="71"/>
  <c r="O271" i="71"/>
  <c r="N271" i="71"/>
  <c r="M271" i="71"/>
  <c r="L271" i="71"/>
  <c r="K271" i="71"/>
  <c r="J271" i="71"/>
  <c r="I271" i="71"/>
  <c r="H271" i="71"/>
  <c r="G271" i="71"/>
  <c r="F271" i="71"/>
  <c r="E271" i="71"/>
  <c r="D271" i="71"/>
  <c r="C271" i="71"/>
  <c r="B271" i="71"/>
  <c r="A271" i="71"/>
  <c r="AF270" i="71"/>
  <c r="AE270" i="71"/>
  <c r="AD270" i="71"/>
  <c r="AC270" i="71"/>
  <c r="AB270" i="71"/>
  <c r="AA270" i="71"/>
  <c r="Z270" i="71"/>
  <c r="Y270" i="71"/>
  <c r="X270" i="71"/>
  <c r="W270" i="71"/>
  <c r="V270" i="71"/>
  <c r="U270" i="71"/>
  <c r="T270" i="71"/>
  <c r="S270" i="71"/>
  <c r="R270" i="71"/>
  <c r="Q270" i="71"/>
  <c r="P270" i="71"/>
  <c r="O270" i="71"/>
  <c r="N270" i="71"/>
  <c r="M270" i="71"/>
  <c r="L270" i="71"/>
  <c r="K270" i="71"/>
  <c r="J270" i="71"/>
  <c r="I270" i="71"/>
  <c r="H270" i="71"/>
  <c r="G270" i="71"/>
  <c r="F270" i="71"/>
  <c r="E270" i="71"/>
  <c r="D270" i="71"/>
  <c r="C270" i="71"/>
  <c r="B270" i="71"/>
  <c r="AX249" i="71"/>
  <c r="AW249" i="71"/>
  <c r="AV249" i="71"/>
  <c r="AU249" i="71"/>
  <c r="AT249" i="71"/>
  <c r="AS249" i="71"/>
  <c r="AR249" i="71"/>
  <c r="AQ249" i="71"/>
  <c r="AP249" i="71"/>
  <c r="AO249" i="71"/>
  <c r="AN249" i="71"/>
  <c r="AM249" i="71"/>
  <c r="AL249" i="71"/>
  <c r="AK249" i="71"/>
  <c r="AJ249" i="71"/>
  <c r="AI249" i="71"/>
  <c r="AH249" i="71"/>
  <c r="AG249" i="71"/>
  <c r="AF249" i="71"/>
  <c r="AE249" i="71"/>
  <c r="AD249" i="71"/>
  <c r="AC249" i="71"/>
  <c r="AB249" i="71"/>
  <c r="AA249" i="71"/>
  <c r="Z249" i="71"/>
  <c r="Y249" i="71"/>
  <c r="X249" i="71"/>
  <c r="W249" i="71"/>
  <c r="V249" i="71"/>
  <c r="U249" i="71"/>
  <c r="T249" i="71"/>
  <c r="S245" i="71"/>
  <c r="C244" i="71"/>
  <c r="B244" i="71"/>
  <c r="AG235" i="71"/>
  <c r="AF235" i="71"/>
  <c r="AE235" i="71"/>
  <c r="AD235" i="71"/>
  <c r="AC235" i="71"/>
  <c r="AB235" i="71"/>
  <c r="AA235" i="71"/>
  <c r="Z235" i="71"/>
  <c r="Y235" i="71"/>
  <c r="X235" i="71"/>
  <c r="W235" i="71"/>
  <c r="V235" i="71"/>
  <c r="U235" i="71"/>
  <c r="T235" i="71"/>
  <c r="S235" i="71"/>
  <c r="R235" i="71"/>
  <c r="Q235" i="71"/>
  <c r="H235" i="71"/>
  <c r="G235" i="71"/>
  <c r="F235" i="71"/>
  <c r="E235" i="71"/>
  <c r="D235" i="71"/>
  <c r="C235" i="71"/>
  <c r="B235" i="71"/>
  <c r="P234" i="71"/>
  <c r="O234" i="71"/>
  <c r="N234" i="71"/>
  <c r="M234" i="71"/>
  <c r="L234" i="71"/>
  <c r="K234" i="71"/>
  <c r="J234" i="71"/>
  <c r="I234" i="71"/>
  <c r="H234" i="71"/>
  <c r="G234" i="71"/>
  <c r="F234" i="71"/>
  <c r="E234" i="71"/>
  <c r="D234" i="71"/>
  <c r="B234" i="71"/>
  <c r="P233" i="71"/>
  <c r="O233" i="71"/>
  <c r="N233" i="71"/>
  <c r="M233" i="71"/>
  <c r="L233" i="71"/>
  <c r="K233" i="71"/>
  <c r="J233" i="71"/>
  <c r="I233" i="71"/>
  <c r="H233" i="71"/>
  <c r="G233" i="71"/>
  <c r="F233" i="71"/>
  <c r="E233" i="71"/>
  <c r="D233" i="71"/>
  <c r="B233" i="71"/>
  <c r="P232" i="71"/>
  <c r="O232" i="71"/>
  <c r="N232" i="71"/>
  <c r="M232" i="71"/>
  <c r="L232" i="71"/>
  <c r="K232" i="71"/>
  <c r="J232" i="71"/>
  <c r="I232" i="71"/>
  <c r="H232" i="71"/>
  <c r="G232" i="71"/>
  <c r="F232" i="71"/>
  <c r="E232" i="71"/>
  <c r="D232" i="71"/>
  <c r="B232" i="71"/>
  <c r="H231" i="71"/>
  <c r="G231" i="71"/>
  <c r="F231" i="71"/>
  <c r="E231" i="71"/>
  <c r="D231" i="71"/>
  <c r="B231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B230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B229" i="71"/>
  <c r="AG227" i="71"/>
  <c r="AF227" i="71"/>
  <c r="AE227" i="71"/>
  <c r="AD227" i="71"/>
  <c r="AC227" i="71"/>
  <c r="AB227" i="71"/>
  <c r="AA227" i="71"/>
  <c r="Z227" i="71"/>
  <c r="Y227" i="71"/>
  <c r="X227" i="71"/>
  <c r="W227" i="71"/>
  <c r="V227" i="71"/>
  <c r="U227" i="71"/>
  <c r="T227" i="71"/>
  <c r="S227" i="71"/>
  <c r="R227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B227" i="71"/>
  <c r="AI120" i="71"/>
  <c r="AH120" i="71"/>
  <c r="AI119" i="71"/>
  <c r="AH119" i="71"/>
  <c r="AI118" i="71"/>
  <c r="AH118" i="71"/>
  <c r="AI117" i="71"/>
  <c r="AH117" i="71"/>
  <c r="AI116" i="71"/>
  <c r="AH116" i="71"/>
  <c r="AI115" i="71"/>
  <c r="AH115" i="71"/>
  <c r="AI114" i="71"/>
  <c r="AH114" i="71"/>
  <c r="AI113" i="71"/>
  <c r="AH113" i="71"/>
  <c r="AI112" i="71"/>
  <c r="AH112" i="71"/>
  <c r="AI111" i="71"/>
  <c r="AH111" i="71"/>
  <c r="AI110" i="71"/>
  <c r="AH110" i="71"/>
  <c r="AF110" i="71"/>
  <c r="AE110" i="71"/>
  <c r="AD110" i="71"/>
  <c r="AC110" i="71"/>
  <c r="AB110" i="71"/>
  <c r="AA110" i="71"/>
  <c r="Z110" i="71"/>
  <c r="Y110" i="71"/>
  <c r="X110" i="71"/>
  <c r="W110" i="71"/>
  <c r="V110" i="71"/>
  <c r="U110" i="71"/>
  <c r="T110" i="71"/>
  <c r="S110" i="71"/>
  <c r="R110" i="71"/>
  <c r="Q110" i="71"/>
  <c r="O110" i="71"/>
  <c r="N110" i="71"/>
  <c r="M110" i="71"/>
  <c r="L110" i="71"/>
  <c r="K110" i="71"/>
  <c r="J110" i="71"/>
  <c r="I110" i="71"/>
  <c r="H110" i="71"/>
  <c r="G110" i="71"/>
  <c r="F110" i="71"/>
  <c r="E110" i="71"/>
  <c r="D110" i="71"/>
  <c r="C110" i="71"/>
  <c r="B110" i="71"/>
  <c r="AI109" i="71"/>
  <c r="AH109" i="71"/>
  <c r="AI108" i="71"/>
  <c r="AH108" i="71"/>
  <c r="AI107" i="71"/>
  <c r="AH107" i="71"/>
  <c r="AI106" i="71"/>
  <c r="AH106" i="71"/>
  <c r="AI105" i="71"/>
  <c r="AH105" i="71"/>
  <c r="AI104" i="71"/>
  <c r="AH104" i="71"/>
  <c r="AI103" i="71"/>
  <c r="AH103" i="71"/>
  <c r="AI102" i="71"/>
  <c r="AH102" i="71"/>
  <c r="AI101" i="71"/>
  <c r="AH101" i="71"/>
  <c r="AI100" i="71"/>
  <c r="AH100" i="71"/>
  <c r="AF100" i="71"/>
  <c r="AE100" i="71"/>
  <c r="AD100" i="71"/>
  <c r="AC100" i="71"/>
  <c r="AB100" i="71"/>
  <c r="AA100" i="71"/>
  <c r="Z100" i="71"/>
  <c r="Y100" i="71"/>
  <c r="X100" i="71"/>
  <c r="W100" i="71"/>
  <c r="V100" i="71"/>
  <c r="U100" i="71"/>
  <c r="T100" i="71"/>
  <c r="S100" i="71"/>
  <c r="R100" i="71"/>
  <c r="Q100" i="71"/>
  <c r="P100" i="71"/>
  <c r="O100" i="71"/>
  <c r="N100" i="71"/>
  <c r="M100" i="71"/>
  <c r="L100" i="71"/>
  <c r="K100" i="71"/>
  <c r="J100" i="71"/>
  <c r="I100" i="71"/>
  <c r="H100" i="71"/>
  <c r="G100" i="71"/>
  <c r="F100" i="71"/>
  <c r="E100" i="71"/>
  <c r="D100" i="71"/>
  <c r="C100" i="71"/>
  <c r="B100" i="71"/>
  <c r="AI99" i="71"/>
  <c r="AH99" i="71"/>
  <c r="AF99" i="71"/>
  <c r="AE99" i="71"/>
  <c r="AD99" i="71"/>
  <c r="AC99" i="71"/>
  <c r="AB99" i="71"/>
  <c r="AA99" i="71"/>
  <c r="Z99" i="71"/>
  <c r="Y99" i="71"/>
  <c r="X99" i="71"/>
  <c r="W99" i="71"/>
  <c r="V99" i="71"/>
  <c r="U99" i="71"/>
  <c r="T99" i="71"/>
  <c r="S99" i="71"/>
  <c r="R99" i="71"/>
  <c r="Q99" i="71"/>
  <c r="P99" i="71"/>
  <c r="O99" i="71"/>
  <c r="N99" i="71"/>
  <c r="M99" i="71"/>
  <c r="L99" i="71"/>
  <c r="K99" i="71"/>
  <c r="J99" i="71"/>
  <c r="I99" i="71"/>
  <c r="H99" i="71"/>
  <c r="G99" i="71"/>
  <c r="F99" i="71"/>
  <c r="E99" i="71"/>
  <c r="D99" i="71"/>
  <c r="C99" i="71"/>
  <c r="B99" i="71"/>
  <c r="AI98" i="71"/>
  <c r="AH98" i="71"/>
  <c r="AI97" i="71"/>
  <c r="AH97" i="71"/>
  <c r="AI96" i="71"/>
  <c r="AH96" i="71"/>
  <c r="AI95" i="71"/>
  <c r="AH95" i="71"/>
  <c r="AI94" i="71"/>
  <c r="AH94" i="71"/>
  <c r="AI93" i="71"/>
  <c r="AH93" i="71"/>
  <c r="AI92" i="71"/>
  <c r="AH92" i="71"/>
  <c r="AF92" i="71"/>
  <c r="AE92" i="71"/>
  <c r="AD92" i="71"/>
  <c r="AC92" i="71"/>
  <c r="AB92" i="71"/>
  <c r="AA92" i="71"/>
  <c r="Z92" i="71"/>
  <c r="Y92" i="71"/>
  <c r="X92" i="71"/>
  <c r="W92" i="71"/>
  <c r="V92" i="71"/>
  <c r="U92" i="71"/>
  <c r="T92" i="71"/>
  <c r="S92" i="71"/>
  <c r="R92" i="71"/>
  <c r="Q92" i="71"/>
  <c r="P92" i="71"/>
  <c r="O92" i="71"/>
  <c r="N92" i="71"/>
  <c r="M92" i="71"/>
  <c r="L92" i="71"/>
  <c r="K92" i="71"/>
  <c r="J92" i="71"/>
  <c r="I92" i="71"/>
  <c r="H92" i="71"/>
  <c r="G92" i="71"/>
  <c r="F92" i="71"/>
  <c r="E92" i="71"/>
  <c r="D92" i="71"/>
  <c r="C92" i="71"/>
  <c r="B92" i="71"/>
  <c r="AI91" i="71"/>
  <c r="AH91" i="71"/>
  <c r="AG91" i="71"/>
  <c r="AF91" i="71"/>
  <c r="AE91" i="71"/>
  <c r="AD91" i="71"/>
  <c r="AC91" i="71"/>
  <c r="AB91" i="71"/>
  <c r="AA91" i="71"/>
  <c r="Z91" i="71"/>
  <c r="Y91" i="71"/>
  <c r="X91" i="71"/>
  <c r="W91" i="71"/>
  <c r="V91" i="71"/>
  <c r="U91" i="71"/>
  <c r="T91" i="71"/>
  <c r="S91" i="71"/>
  <c r="R91" i="71"/>
  <c r="Q91" i="71"/>
  <c r="P91" i="71"/>
  <c r="O91" i="71"/>
  <c r="N91" i="71"/>
  <c r="M91" i="71"/>
  <c r="L91" i="71"/>
  <c r="K91" i="71"/>
  <c r="J91" i="71"/>
  <c r="I91" i="71"/>
  <c r="H91" i="71"/>
  <c r="G91" i="71"/>
  <c r="F91" i="71"/>
  <c r="E91" i="71"/>
  <c r="D91" i="71"/>
  <c r="C91" i="71"/>
  <c r="B91" i="71"/>
  <c r="AI90" i="71"/>
  <c r="AH90" i="71"/>
  <c r="AI89" i="71"/>
  <c r="AH89" i="71"/>
  <c r="AG89" i="71"/>
  <c r="AF89" i="71"/>
  <c r="AE89" i="71"/>
  <c r="AD89" i="71"/>
  <c r="AC89" i="71"/>
  <c r="AB89" i="71"/>
  <c r="AA89" i="71"/>
  <c r="Z89" i="71"/>
  <c r="Y89" i="71"/>
  <c r="X89" i="71"/>
  <c r="W89" i="71"/>
  <c r="V89" i="71"/>
  <c r="U89" i="71"/>
  <c r="T89" i="71"/>
  <c r="S89" i="71"/>
  <c r="R89" i="71"/>
  <c r="Q89" i="71"/>
  <c r="P89" i="71"/>
  <c r="O89" i="71"/>
  <c r="N89" i="71"/>
  <c r="M89" i="71"/>
  <c r="L89" i="71"/>
  <c r="K89" i="71"/>
  <c r="J89" i="71"/>
  <c r="I89" i="71"/>
  <c r="H89" i="71"/>
  <c r="G89" i="71"/>
  <c r="F89" i="71"/>
  <c r="E89" i="71"/>
  <c r="D89" i="71"/>
  <c r="C89" i="71"/>
  <c r="B89" i="71"/>
  <c r="AI88" i="71"/>
  <c r="AH88" i="71"/>
  <c r="AG88" i="71"/>
  <c r="AI87" i="71"/>
  <c r="AH87" i="71"/>
  <c r="AI86" i="71"/>
  <c r="AH86" i="71"/>
  <c r="AI85" i="71"/>
  <c r="AH85" i="71"/>
  <c r="AI84" i="71"/>
  <c r="AH84" i="71"/>
  <c r="AG84" i="71"/>
  <c r="AF84" i="71"/>
  <c r="AE84" i="71"/>
  <c r="AD84" i="71"/>
  <c r="AC84" i="71"/>
  <c r="AB84" i="71"/>
  <c r="AA84" i="71"/>
  <c r="Z84" i="71"/>
  <c r="Y84" i="71"/>
  <c r="X84" i="71"/>
  <c r="W84" i="71"/>
  <c r="V84" i="71"/>
  <c r="U84" i="71"/>
  <c r="T84" i="71"/>
  <c r="S84" i="71"/>
  <c r="R84" i="71"/>
  <c r="Q84" i="71"/>
  <c r="P84" i="71"/>
  <c r="O84" i="71"/>
  <c r="N84" i="71"/>
  <c r="M84" i="71"/>
  <c r="L84" i="71"/>
  <c r="K84" i="71"/>
  <c r="J84" i="71"/>
  <c r="I84" i="71"/>
  <c r="H84" i="71"/>
  <c r="G84" i="71"/>
  <c r="F84" i="71"/>
  <c r="E84" i="71"/>
  <c r="D84" i="71"/>
  <c r="C84" i="71"/>
  <c r="B84" i="71"/>
  <c r="AI83" i="71"/>
  <c r="AH83" i="71"/>
  <c r="AI82" i="71"/>
  <c r="AH82" i="71"/>
  <c r="AI81" i="71"/>
  <c r="AH81" i="71"/>
  <c r="AI80" i="71"/>
  <c r="AH80" i="71"/>
  <c r="AI79" i="71"/>
  <c r="AH79" i="71"/>
  <c r="AI78" i="71"/>
  <c r="AH78" i="71"/>
  <c r="AI77" i="71"/>
  <c r="AH77" i="71"/>
  <c r="AI76" i="71"/>
  <c r="AH76" i="71"/>
  <c r="AI75" i="71"/>
  <c r="AH75" i="71"/>
  <c r="AI74" i="71"/>
  <c r="AH74" i="71"/>
  <c r="AI73" i="71"/>
  <c r="AH73" i="71"/>
  <c r="AI72" i="71"/>
  <c r="AH72" i="71"/>
  <c r="AG72" i="71"/>
  <c r="AF72" i="71"/>
  <c r="AE72" i="71"/>
  <c r="AD72" i="71"/>
  <c r="AC72" i="71"/>
  <c r="AB72" i="71"/>
  <c r="AA72" i="71"/>
  <c r="Z72" i="71"/>
  <c r="Y72" i="71"/>
  <c r="X72" i="71"/>
  <c r="W72" i="71"/>
  <c r="V72" i="71"/>
  <c r="U72" i="71"/>
  <c r="T72" i="71"/>
  <c r="S72" i="71"/>
  <c r="R72" i="71"/>
  <c r="Q72" i="71"/>
  <c r="P72" i="71"/>
  <c r="O72" i="71"/>
  <c r="N72" i="71"/>
  <c r="B72" i="71"/>
  <c r="AI71" i="71"/>
  <c r="AH71" i="71"/>
  <c r="AI70" i="71"/>
  <c r="AH70" i="71"/>
  <c r="AI69" i="71"/>
  <c r="AH69" i="71"/>
  <c r="AI68" i="71"/>
  <c r="AH68" i="71"/>
  <c r="AG68" i="71"/>
  <c r="AF68" i="71"/>
  <c r="AE68" i="71"/>
  <c r="AD68" i="71"/>
  <c r="AC68" i="71"/>
  <c r="AB68" i="71"/>
  <c r="AA68" i="71"/>
  <c r="Z68" i="71"/>
  <c r="Y68" i="71"/>
  <c r="X68" i="71"/>
  <c r="W68" i="71"/>
  <c r="V68" i="71"/>
  <c r="U68" i="71"/>
  <c r="T68" i="71"/>
  <c r="S68" i="71"/>
  <c r="R68" i="71"/>
  <c r="Q68" i="71"/>
  <c r="P68" i="71"/>
  <c r="O68" i="71"/>
  <c r="N68" i="71"/>
  <c r="M68" i="71"/>
  <c r="L68" i="71"/>
  <c r="K68" i="71"/>
  <c r="J68" i="71"/>
  <c r="I68" i="71"/>
  <c r="H68" i="71"/>
  <c r="G68" i="71"/>
  <c r="F68" i="71"/>
  <c r="E68" i="71"/>
  <c r="D68" i="71"/>
  <c r="C68" i="71"/>
  <c r="B68" i="71"/>
  <c r="AI67" i="71"/>
  <c r="AH67" i="71"/>
  <c r="AG67" i="71"/>
  <c r="AI66" i="71"/>
  <c r="AH66" i="71"/>
  <c r="AI65" i="71"/>
  <c r="AH65" i="71"/>
  <c r="AI64" i="71"/>
  <c r="AH64" i="71"/>
  <c r="AI63" i="71"/>
  <c r="AH63" i="71"/>
  <c r="AI62" i="71"/>
  <c r="AH62" i="71"/>
  <c r="AI61" i="71"/>
  <c r="AH61" i="71"/>
  <c r="AI60" i="71"/>
  <c r="AH60" i="71"/>
  <c r="AI59" i="71"/>
  <c r="AH59" i="71"/>
  <c r="AI58" i="71"/>
  <c r="AH58" i="71"/>
  <c r="AI57" i="71"/>
  <c r="AH57" i="71"/>
  <c r="AI56" i="71"/>
  <c r="AH56" i="71"/>
  <c r="AI55" i="71"/>
  <c r="AH55" i="71"/>
  <c r="AI54" i="71"/>
  <c r="AH54" i="71"/>
  <c r="AG54" i="71"/>
  <c r="AF54" i="71"/>
  <c r="AE54" i="71"/>
  <c r="AD54" i="71"/>
  <c r="AC54" i="71"/>
  <c r="AB54" i="71"/>
  <c r="AA54" i="71"/>
  <c r="Z54" i="71"/>
  <c r="Y54" i="71"/>
  <c r="X54" i="71"/>
  <c r="W54" i="71"/>
  <c r="V54" i="71"/>
  <c r="U54" i="71"/>
  <c r="T54" i="71"/>
  <c r="S54" i="71"/>
  <c r="R54" i="71"/>
  <c r="Q54" i="71"/>
  <c r="P54" i="71"/>
  <c r="O54" i="71"/>
  <c r="N54" i="71"/>
  <c r="M54" i="71"/>
  <c r="L54" i="71"/>
  <c r="K54" i="71"/>
  <c r="J54" i="71"/>
  <c r="I54" i="71"/>
  <c r="H54" i="71"/>
  <c r="G54" i="71"/>
  <c r="F54" i="71"/>
  <c r="E54" i="71"/>
  <c r="D54" i="71"/>
  <c r="C54" i="71"/>
  <c r="B54" i="71"/>
  <c r="AI53" i="71"/>
  <c r="AH53" i="71"/>
  <c r="AI52" i="71"/>
  <c r="AH52" i="71"/>
  <c r="AI51" i="71"/>
  <c r="AH51" i="71"/>
  <c r="AI50" i="71"/>
  <c r="AH50" i="71"/>
  <c r="AG50" i="71"/>
  <c r="AF50" i="71"/>
  <c r="AE50" i="71"/>
  <c r="AD50" i="71"/>
  <c r="AC50" i="71"/>
  <c r="AB50" i="71"/>
  <c r="AA50" i="71"/>
  <c r="Z50" i="71"/>
  <c r="Y50" i="71"/>
  <c r="X50" i="71"/>
  <c r="W50" i="71"/>
  <c r="V50" i="71"/>
  <c r="U50" i="71"/>
  <c r="T50" i="71"/>
  <c r="S50" i="71"/>
  <c r="R50" i="71"/>
  <c r="Q50" i="71"/>
  <c r="P50" i="71"/>
  <c r="O50" i="71"/>
  <c r="N50" i="71"/>
  <c r="M50" i="71"/>
  <c r="L50" i="71"/>
  <c r="K50" i="71"/>
  <c r="J50" i="71"/>
  <c r="I50" i="71"/>
  <c r="H50" i="71"/>
  <c r="G50" i="71"/>
  <c r="F50" i="71"/>
  <c r="E50" i="71"/>
  <c r="D50" i="71"/>
  <c r="C50" i="71"/>
  <c r="B50" i="71"/>
  <c r="AI49" i="71"/>
  <c r="AH49" i="71"/>
  <c r="P49" i="71"/>
  <c r="O49" i="71"/>
  <c r="N49" i="71"/>
  <c r="AI48" i="71"/>
  <c r="AH48" i="71"/>
  <c r="AI47" i="71"/>
  <c r="AH47" i="71"/>
  <c r="AI46" i="71"/>
  <c r="AH46" i="71"/>
  <c r="AI45" i="71"/>
  <c r="AH45" i="71"/>
  <c r="AI44" i="71"/>
  <c r="AH44" i="71"/>
  <c r="AI43" i="71"/>
  <c r="AH43" i="71"/>
  <c r="AI42" i="71"/>
  <c r="AH42" i="71"/>
  <c r="AI41" i="71"/>
  <c r="AH41" i="71"/>
  <c r="AI40" i="71"/>
  <c r="AH40" i="71"/>
  <c r="AI39" i="71"/>
  <c r="AH39" i="71"/>
  <c r="AI38" i="71"/>
  <c r="AH38" i="71"/>
  <c r="AI37" i="71"/>
  <c r="AH37" i="71"/>
  <c r="AI36" i="71"/>
  <c r="AH36" i="71"/>
  <c r="AI35" i="71"/>
  <c r="AH35" i="71"/>
  <c r="AI34" i="71"/>
  <c r="AH34" i="71"/>
  <c r="AI33" i="71"/>
  <c r="AH33" i="71"/>
  <c r="AI32" i="71"/>
  <c r="AH32" i="71"/>
  <c r="AI31" i="71"/>
  <c r="AH31" i="71"/>
  <c r="AI30" i="71"/>
  <c r="AH30" i="71"/>
  <c r="AI29" i="71"/>
  <c r="AH29" i="71"/>
  <c r="AI28" i="71"/>
  <c r="AH28" i="71"/>
  <c r="AI27" i="71"/>
  <c r="AH27" i="71"/>
  <c r="AI26" i="71"/>
  <c r="AH26" i="71"/>
  <c r="AI25" i="71"/>
  <c r="AH25" i="71"/>
  <c r="AI24" i="71"/>
  <c r="AH24" i="71"/>
  <c r="AI23" i="71"/>
  <c r="AH23" i="71"/>
  <c r="AI22" i="71"/>
  <c r="AH22" i="71"/>
  <c r="AI21" i="71"/>
  <c r="AH21" i="71"/>
  <c r="AI20" i="71"/>
  <c r="AH20" i="71"/>
  <c r="AI19" i="71"/>
  <c r="AH19" i="71"/>
  <c r="AI18" i="71"/>
  <c r="AH18" i="71"/>
  <c r="AI17" i="71"/>
  <c r="AH17" i="71"/>
  <c r="AI16" i="71"/>
  <c r="AH16" i="71"/>
  <c r="AI15" i="71"/>
  <c r="AH15" i="71"/>
  <c r="AI14" i="71"/>
  <c r="AH14" i="71"/>
  <c r="AI13" i="71"/>
  <c r="AH13" i="71"/>
  <c r="AI12" i="71"/>
  <c r="AH12" i="71"/>
  <c r="AI11" i="71"/>
  <c r="AH11" i="71"/>
  <c r="AF7" i="71"/>
  <c r="AE7" i="71"/>
  <c r="AD7" i="71"/>
  <c r="AC7" i="71"/>
  <c r="AB7" i="71"/>
  <c r="AA7" i="71"/>
  <c r="Z7" i="71"/>
  <c r="Y7" i="71"/>
  <c r="X7" i="71"/>
  <c r="W7" i="71"/>
  <c r="V7" i="71"/>
  <c r="U7" i="7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C7" i="71"/>
  <c r="B7" i="71"/>
  <c r="A7" i="71"/>
  <c r="AG6" i="71"/>
  <c r="K6" i="71"/>
  <c r="AF5" i="71"/>
  <c r="AE5" i="71"/>
  <c r="AD5" i="71"/>
  <c r="AC5" i="71"/>
  <c r="AB5" i="71"/>
  <c r="AA5" i="71"/>
  <c r="Z5" i="71"/>
  <c r="Y5" i="71"/>
  <c r="X5" i="71"/>
  <c r="W5" i="71"/>
  <c r="V5" i="71"/>
  <c r="U5" i="7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C5" i="71"/>
  <c r="B5" i="71"/>
  <c r="AG4" i="71"/>
  <c r="K4" i="71"/>
  <c r="E4" i="71"/>
  <c r="H4" i="71" s="1"/>
  <c r="B4" i="71"/>
  <c r="D246" i="71" s="1"/>
  <c r="AG3" i="71"/>
  <c r="AG2" i="71"/>
  <c r="AF274" i="70"/>
  <c r="AE274" i="70"/>
  <c r="AD274" i="70"/>
  <c r="AC274" i="70"/>
  <c r="AB274" i="70"/>
  <c r="AA274" i="70"/>
  <c r="Z274" i="70"/>
  <c r="Y274" i="70"/>
  <c r="X274" i="70"/>
  <c r="W274" i="70"/>
  <c r="V274" i="70"/>
  <c r="U274" i="70"/>
  <c r="T274" i="70"/>
  <c r="S274" i="70"/>
  <c r="R274" i="70"/>
  <c r="Q274" i="70"/>
  <c r="P274" i="70"/>
  <c r="O274" i="70"/>
  <c r="N274" i="70"/>
  <c r="M274" i="70"/>
  <c r="L274" i="70"/>
  <c r="K274" i="70"/>
  <c r="J274" i="70"/>
  <c r="I274" i="70"/>
  <c r="H274" i="70"/>
  <c r="G274" i="70"/>
  <c r="F274" i="70"/>
  <c r="E274" i="70"/>
  <c r="D274" i="70"/>
  <c r="C274" i="70"/>
  <c r="B274" i="70"/>
  <c r="A274" i="70"/>
  <c r="AF273" i="70"/>
  <c r="AE273" i="70"/>
  <c r="AD273" i="70"/>
  <c r="AC273" i="70"/>
  <c r="AB273" i="70"/>
  <c r="AA273" i="70"/>
  <c r="Z273" i="70"/>
  <c r="Y273" i="70"/>
  <c r="X273" i="70"/>
  <c r="W273" i="70"/>
  <c r="V273" i="70"/>
  <c r="U273" i="70"/>
  <c r="T273" i="70"/>
  <c r="S273" i="70"/>
  <c r="R273" i="70"/>
  <c r="Q273" i="70"/>
  <c r="P273" i="70"/>
  <c r="O273" i="70"/>
  <c r="N273" i="70"/>
  <c r="M273" i="70"/>
  <c r="L273" i="70"/>
  <c r="K273" i="70"/>
  <c r="J273" i="70"/>
  <c r="I273" i="70"/>
  <c r="H273" i="70"/>
  <c r="G273" i="70"/>
  <c r="F273" i="70"/>
  <c r="E273" i="70"/>
  <c r="D273" i="70"/>
  <c r="C273" i="70"/>
  <c r="B273" i="70"/>
  <c r="A273" i="70"/>
  <c r="AF272" i="70"/>
  <c r="AE272" i="70"/>
  <c r="AD272" i="70"/>
  <c r="AC272" i="70"/>
  <c r="AB272" i="70"/>
  <c r="AA272" i="70"/>
  <c r="Z272" i="70"/>
  <c r="Y272" i="70"/>
  <c r="X272" i="70"/>
  <c r="W272" i="70"/>
  <c r="V272" i="70"/>
  <c r="U272" i="70"/>
  <c r="T272" i="70"/>
  <c r="S272" i="70"/>
  <c r="R272" i="70"/>
  <c r="Q272" i="70"/>
  <c r="P272" i="70"/>
  <c r="O272" i="70"/>
  <c r="N272" i="70"/>
  <c r="M272" i="70"/>
  <c r="L272" i="70"/>
  <c r="K272" i="70"/>
  <c r="J272" i="70"/>
  <c r="I272" i="70"/>
  <c r="H272" i="70"/>
  <c r="G272" i="70"/>
  <c r="F272" i="70"/>
  <c r="E272" i="70"/>
  <c r="D272" i="70"/>
  <c r="C272" i="70"/>
  <c r="B272" i="70"/>
  <c r="A272" i="70"/>
  <c r="AF271" i="70"/>
  <c r="AE271" i="70"/>
  <c r="AD271" i="70"/>
  <c r="AC271" i="70"/>
  <c r="AB271" i="70"/>
  <c r="AA271" i="70"/>
  <c r="Z271" i="70"/>
  <c r="Y271" i="70"/>
  <c r="X271" i="70"/>
  <c r="W271" i="70"/>
  <c r="V271" i="70"/>
  <c r="U271" i="70"/>
  <c r="T271" i="70"/>
  <c r="S271" i="70"/>
  <c r="R271" i="70"/>
  <c r="Q271" i="70"/>
  <c r="P271" i="70"/>
  <c r="O271" i="70"/>
  <c r="N271" i="70"/>
  <c r="M271" i="70"/>
  <c r="L271" i="70"/>
  <c r="K271" i="70"/>
  <c r="J271" i="70"/>
  <c r="I271" i="70"/>
  <c r="H271" i="70"/>
  <c r="G271" i="70"/>
  <c r="F271" i="70"/>
  <c r="E271" i="70"/>
  <c r="D271" i="70"/>
  <c r="C271" i="70"/>
  <c r="B271" i="70"/>
  <c r="A271" i="70"/>
  <c r="AF270" i="70"/>
  <c r="AE270" i="70"/>
  <c r="AD270" i="70"/>
  <c r="AC270" i="70"/>
  <c r="AB270" i="70"/>
  <c r="AA270" i="70"/>
  <c r="Z270" i="70"/>
  <c r="Y270" i="70"/>
  <c r="X270" i="70"/>
  <c r="W270" i="70"/>
  <c r="V270" i="70"/>
  <c r="U270" i="70"/>
  <c r="T270" i="70"/>
  <c r="S270" i="70"/>
  <c r="R270" i="70"/>
  <c r="Q270" i="70"/>
  <c r="P270" i="70"/>
  <c r="O270" i="70"/>
  <c r="N270" i="70"/>
  <c r="M270" i="70"/>
  <c r="L270" i="70"/>
  <c r="K270" i="70"/>
  <c r="J270" i="70"/>
  <c r="I270" i="70"/>
  <c r="H270" i="70"/>
  <c r="G270" i="70"/>
  <c r="F270" i="70"/>
  <c r="E270" i="70"/>
  <c r="D270" i="70"/>
  <c r="C270" i="70"/>
  <c r="B270" i="70"/>
  <c r="AX249" i="70"/>
  <c r="AW249" i="70"/>
  <c r="AV249" i="70"/>
  <c r="AU249" i="70"/>
  <c r="AT249" i="70"/>
  <c r="AS249" i="70"/>
  <c r="AR249" i="70"/>
  <c r="AQ249" i="70"/>
  <c r="AP249" i="70"/>
  <c r="AO249" i="70"/>
  <c r="AN249" i="70"/>
  <c r="AM249" i="70"/>
  <c r="AL249" i="70"/>
  <c r="AK249" i="70"/>
  <c r="AJ249" i="70"/>
  <c r="AI249" i="70"/>
  <c r="AH249" i="70"/>
  <c r="AG249" i="70"/>
  <c r="AF249" i="70"/>
  <c r="AE249" i="70"/>
  <c r="AD249" i="70"/>
  <c r="AC249" i="70"/>
  <c r="AB249" i="70"/>
  <c r="AA249" i="70"/>
  <c r="Z249" i="70"/>
  <c r="Y249" i="70"/>
  <c r="X249" i="70"/>
  <c r="W249" i="70"/>
  <c r="V249" i="70"/>
  <c r="U249" i="70"/>
  <c r="T249" i="70"/>
  <c r="S245" i="70"/>
  <c r="C244" i="70"/>
  <c r="B244" i="70"/>
  <c r="AG235" i="70"/>
  <c r="AF235" i="70"/>
  <c r="AE235" i="70"/>
  <c r="AD235" i="70"/>
  <c r="AC235" i="70"/>
  <c r="AB235" i="70"/>
  <c r="AA235" i="70"/>
  <c r="Z235" i="70"/>
  <c r="Y235" i="70"/>
  <c r="X235" i="70"/>
  <c r="W235" i="70"/>
  <c r="V235" i="70"/>
  <c r="U235" i="70"/>
  <c r="T235" i="70"/>
  <c r="S235" i="70"/>
  <c r="R235" i="70"/>
  <c r="Q235" i="70"/>
  <c r="H235" i="70"/>
  <c r="G235" i="70"/>
  <c r="F235" i="70"/>
  <c r="E235" i="70"/>
  <c r="D235" i="70"/>
  <c r="C235" i="70"/>
  <c r="B235" i="70"/>
  <c r="P234" i="70"/>
  <c r="O234" i="70"/>
  <c r="N234" i="70"/>
  <c r="M234" i="70"/>
  <c r="L234" i="70"/>
  <c r="K234" i="70"/>
  <c r="J234" i="70"/>
  <c r="I234" i="70"/>
  <c r="H234" i="70"/>
  <c r="G234" i="70"/>
  <c r="F234" i="70"/>
  <c r="E234" i="70"/>
  <c r="D234" i="70"/>
  <c r="B234" i="70"/>
  <c r="P233" i="70"/>
  <c r="O233" i="70"/>
  <c r="N233" i="70"/>
  <c r="M233" i="70"/>
  <c r="L233" i="70"/>
  <c r="K233" i="70"/>
  <c r="J233" i="70"/>
  <c r="I233" i="70"/>
  <c r="H233" i="70"/>
  <c r="G233" i="70"/>
  <c r="F233" i="70"/>
  <c r="E233" i="70"/>
  <c r="D233" i="70"/>
  <c r="B233" i="70"/>
  <c r="P232" i="70"/>
  <c r="O232" i="70"/>
  <c r="N232" i="70"/>
  <c r="M232" i="70"/>
  <c r="L232" i="70"/>
  <c r="K232" i="70"/>
  <c r="J232" i="70"/>
  <c r="I232" i="70"/>
  <c r="H232" i="70"/>
  <c r="G232" i="70"/>
  <c r="F232" i="70"/>
  <c r="E232" i="70"/>
  <c r="D232" i="70"/>
  <c r="B232" i="70"/>
  <c r="H231" i="70"/>
  <c r="G231" i="70"/>
  <c r="F231" i="70"/>
  <c r="E231" i="70"/>
  <c r="D231" i="70"/>
  <c r="B231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B230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B229" i="70"/>
  <c r="AG227" i="70"/>
  <c r="AF227" i="70"/>
  <c r="AE227" i="70"/>
  <c r="AD227" i="70"/>
  <c r="AC227" i="70"/>
  <c r="AB227" i="70"/>
  <c r="AA227" i="70"/>
  <c r="Z227" i="70"/>
  <c r="Y227" i="70"/>
  <c r="X227" i="70"/>
  <c r="W227" i="70"/>
  <c r="V227" i="70"/>
  <c r="U227" i="70"/>
  <c r="T227" i="70"/>
  <c r="S227" i="70"/>
  <c r="R227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B227" i="70"/>
  <c r="AI120" i="70"/>
  <c r="AH120" i="70"/>
  <c r="AI119" i="70"/>
  <c r="AH119" i="70"/>
  <c r="AI118" i="70"/>
  <c r="AH118" i="70"/>
  <c r="AI117" i="70"/>
  <c r="AH117" i="70"/>
  <c r="AI116" i="70"/>
  <c r="AH116" i="70"/>
  <c r="AI115" i="70"/>
  <c r="AH115" i="70"/>
  <c r="AI114" i="70"/>
  <c r="AH114" i="70"/>
  <c r="AI113" i="70"/>
  <c r="AH113" i="70"/>
  <c r="AI112" i="70"/>
  <c r="AH112" i="70"/>
  <c r="AI111" i="70"/>
  <c r="AH111" i="70"/>
  <c r="AI110" i="70"/>
  <c r="AH110" i="70"/>
  <c r="AF110" i="70"/>
  <c r="AE110" i="70"/>
  <c r="AC110" i="70"/>
  <c r="AB110" i="70"/>
  <c r="AA110" i="70"/>
  <c r="Z110" i="70"/>
  <c r="Y110" i="70"/>
  <c r="X110" i="70"/>
  <c r="W110" i="70"/>
  <c r="V110" i="70"/>
  <c r="U110" i="70"/>
  <c r="T110" i="70"/>
  <c r="S110" i="70"/>
  <c r="R110" i="70"/>
  <c r="Q110" i="70"/>
  <c r="O110" i="70"/>
  <c r="N110" i="70"/>
  <c r="M110" i="70"/>
  <c r="L110" i="70"/>
  <c r="K110" i="70"/>
  <c r="J110" i="70"/>
  <c r="I110" i="70"/>
  <c r="H110" i="70"/>
  <c r="G110" i="70"/>
  <c r="F110" i="70"/>
  <c r="E110" i="70"/>
  <c r="D110" i="70"/>
  <c r="C110" i="70"/>
  <c r="B110" i="70"/>
  <c r="AI109" i="70"/>
  <c r="AH109" i="70"/>
  <c r="AI108" i="70"/>
  <c r="AH108" i="70"/>
  <c r="AI107" i="70"/>
  <c r="AH107" i="70"/>
  <c r="AI106" i="70"/>
  <c r="AH106" i="70"/>
  <c r="AI105" i="70"/>
  <c r="AH105" i="70"/>
  <c r="AI104" i="70"/>
  <c r="AH104" i="70"/>
  <c r="AI103" i="70"/>
  <c r="AH103" i="70"/>
  <c r="AI102" i="70"/>
  <c r="AH102" i="70"/>
  <c r="AI101" i="70"/>
  <c r="AH101" i="70"/>
  <c r="AI100" i="70"/>
  <c r="AH100" i="70"/>
  <c r="AF100" i="70"/>
  <c r="AE100" i="70"/>
  <c r="AD100" i="70"/>
  <c r="AC100" i="70"/>
  <c r="AB100" i="70"/>
  <c r="AA100" i="70"/>
  <c r="Z100" i="70"/>
  <c r="Y100" i="70"/>
  <c r="X100" i="70"/>
  <c r="W100" i="70"/>
  <c r="V100" i="70"/>
  <c r="U100" i="70"/>
  <c r="T100" i="70"/>
  <c r="S100" i="70"/>
  <c r="R100" i="70"/>
  <c r="Q100" i="70"/>
  <c r="P100" i="70"/>
  <c r="O100" i="70"/>
  <c r="N100" i="70"/>
  <c r="M100" i="70"/>
  <c r="L100" i="70"/>
  <c r="K100" i="70"/>
  <c r="J100" i="70"/>
  <c r="I100" i="70"/>
  <c r="H100" i="70"/>
  <c r="G100" i="70"/>
  <c r="F100" i="70"/>
  <c r="E100" i="70"/>
  <c r="D100" i="70"/>
  <c r="C100" i="70"/>
  <c r="B100" i="70"/>
  <c r="AI99" i="70"/>
  <c r="AH99" i="70"/>
  <c r="AF99" i="70"/>
  <c r="AE99" i="70"/>
  <c r="AD99" i="70"/>
  <c r="AC99" i="70"/>
  <c r="AB99" i="70"/>
  <c r="AA99" i="70"/>
  <c r="Z99" i="70"/>
  <c r="Y99" i="70"/>
  <c r="X99" i="70"/>
  <c r="W99" i="70"/>
  <c r="V99" i="70"/>
  <c r="U99" i="70"/>
  <c r="T99" i="70"/>
  <c r="S99" i="70"/>
  <c r="R99" i="70"/>
  <c r="Q99" i="70"/>
  <c r="P99" i="70"/>
  <c r="O99" i="70"/>
  <c r="N99" i="70"/>
  <c r="M99" i="70"/>
  <c r="L99" i="70"/>
  <c r="K99" i="70"/>
  <c r="J99" i="70"/>
  <c r="I99" i="70"/>
  <c r="H99" i="70"/>
  <c r="G99" i="70"/>
  <c r="F99" i="70"/>
  <c r="E99" i="70"/>
  <c r="D99" i="70"/>
  <c r="C99" i="70"/>
  <c r="B99" i="70"/>
  <c r="AI98" i="70"/>
  <c r="AH98" i="70"/>
  <c r="AI97" i="70"/>
  <c r="AH97" i="70"/>
  <c r="AI96" i="70"/>
  <c r="AH96" i="70"/>
  <c r="AI95" i="70"/>
  <c r="AH95" i="70"/>
  <c r="AI94" i="70"/>
  <c r="AH94" i="70"/>
  <c r="AI93" i="70"/>
  <c r="AH93" i="70"/>
  <c r="AI92" i="70"/>
  <c r="AH92" i="70"/>
  <c r="AF92" i="70"/>
  <c r="AE92" i="70"/>
  <c r="AD92" i="70"/>
  <c r="AC92" i="70"/>
  <c r="AB92" i="70"/>
  <c r="AA92" i="70"/>
  <c r="Z92" i="70"/>
  <c r="Y92" i="70"/>
  <c r="X92" i="70"/>
  <c r="W92" i="70"/>
  <c r="V92" i="70"/>
  <c r="U92" i="70"/>
  <c r="T92" i="70"/>
  <c r="S92" i="70"/>
  <c r="R92" i="70"/>
  <c r="Q92" i="70"/>
  <c r="P92" i="70"/>
  <c r="O92" i="70"/>
  <c r="N92" i="70"/>
  <c r="M92" i="70"/>
  <c r="L92" i="70"/>
  <c r="K92" i="70"/>
  <c r="J92" i="70"/>
  <c r="I92" i="70"/>
  <c r="H92" i="70"/>
  <c r="G92" i="70"/>
  <c r="F92" i="70"/>
  <c r="E92" i="70"/>
  <c r="D92" i="70"/>
  <c r="C92" i="70"/>
  <c r="B92" i="70"/>
  <c r="AI91" i="70"/>
  <c r="AH91" i="70"/>
  <c r="AG91" i="70"/>
  <c r="AF91" i="70"/>
  <c r="AE91" i="70"/>
  <c r="AD91" i="70"/>
  <c r="AC91" i="70"/>
  <c r="AB91" i="70"/>
  <c r="AA91" i="70"/>
  <c r="Z91" i="70"/>
  <c r="Y91" i="70"/>
  <c r="X91" i="70"/>
  <c r="W91" i="70"/>
  <c r="V91" i="70"/>
  <c r="U91" i="70"/>
  <c r="T91" i="70"/>
  <c r="S91" i="70"/>
  <c r="R91" i="70"/>
  <c r="Q91" i="70"/>
  <c r="P91" i="70"/>
  <c r="O91" i="70"/>
  <c r="N91" i="70"/>
  <c r="M91" i="70"/>
  <c r="L91" i="70"/>
  <c r="K91" i="70"/>
  <c r="J91" i="70"/>
  <c r="I91" i="70"/>
  <c r="H91" i="70"/>
  <c r="G91" i="70"/>
  <c r="F91" i="70"/>
  <c r="E91" i="70"/>
  <c r="D91" i="70"/>
  <c r="C91" i="70"/>
  <c r="B91" i="70"/>
  <c r="AI90" i="70"/>
  <c r="AH90" i="70"/>
  <c r="AI89" i="70"/>
  <c r="AH89" i="70"/>
  <c r="AG89" i="70"/>
  <c r="AF89" i="70"/>
  <c r="AE89" i="70"/>
  <c r="AD89" i="70"/>
  <c r="AC89" i="70"/>
  <c r="AB89" i="70"/>
  <c r="AA89" i="70"/>
  <c r="Z89" i="70"/>
  <c r="Y89" i="70"/>
  <c r="X89" i="70"/>
  <c r="W89" i="70"/>
  <c r="V89" i="70"/>
  <c r="U89" i="70"/>
  <c r="T89" i="70"/>
  <c r="S89" i="70"/>
  <c r="R89" i="70"/>
  <c r="Q89" i="70"/>
  <c r="P89" i="70"/>
  <c r="O89" i="70"/>
  <c r="N89" i="70"/>
  <c r="M89" i="70"/>
  <c r="L89" i="70"/>
  <c r="K89" i="70"/>
  <c r="J89" i="70"/>
  <c r="I89" i="70"/>
  <c r="H89" i="70"/>
  <c r="G89" i="70"/>
  <c r="F89" i="70"/>
  <c r="E89" i="70"/>
  <c r="D89" i="70"/>
  <c r="C89" i="70"/>
  <c r="B89" i="70"/>
  <c r="AI88" i="70"/>
  <c r="AH88" i="70"/>
  <c r="AG88" i="70"/>
  <c r="AI87" i="70"/>
  <c r="AH87" i="70"/>
  <c r="AI86" i="70"/>
  <c r="AH86" i="70"/>
  <c r="AI85" i="70"/>
  <c r="AH85" i="70"/>
  <c r="AI84" i="70"/>
  <c r="AH84" i="70"/>
  <c r="AG84" i="70"/>
  <c r="AF84" i="70"/>
  <c r="AE84" i="70"/>
  <c r="AD84" i="70"/>
  <c r="AC84" i="70"/>
  <c r="AB84" i="70"/>
  <c r="AA84" i="70"/>
  <c r="Z84" i="70"/>
  <c r="Y84" i="70"/>
  <c r="X84" i="70"/>
  <c r="W84" i="70"/>
  <c r="V84" i="70"/>
  <c r="U84" i="70"/>
  <c r="T84" i="70"/>
  <c r="S84" i="70"/>
  <c r="R84" i="70"/>
  <c r="Q84" i="70"/>
  <c r="P84" i="70"/>
  <c r="O84" i="70"/>
  <c r="N84" i="70"/>
  <c r="M84" i="70"/>
  <c r="L84" i="70"/>
  <c r="K84" i="70"/>
  <c r="J84" i="70"/>
  <c r="I84" i="70"/>
  <c r="H84" i="70"/>
  <c r="G84" i="70"/>
  <c r="F84" i="70"/>
  <c r="E84" i="70"/>
  <c r="D84" i="70"/>
  <c r="C84" i="70"/>
  <c r="B84" i="70"/>
  <c r="AI83" i="70"/>
  <c r="AH83" i="70"/>
  <c r="AI82" i="70"/>
  <c r="AH82" i="70"/>
  <c r="AI81" i="70"/>
  <c r="AH81" i="70"/>
  <c r="AI80" i="70"/>
  <c r="AH80" i="70"/>
  <c r="AI79" i="70"/>
  <c r="AH79" i="70"/>
  <c r="AI78" i="70"/>
  <c r="AH78" i="70"/>
  <c r="AI77" i="70"/>
  <c r="AH77" i="70"/>
  <c r="AI76" i="70"/>
  <c r="AH76" i="70"/>
  <c r="AI75" i="70"/>
  <c r="AH75" i="70"/>
  <c r="AI74" i="70"/>
  <c r="AH74" i="70"/>
  <c r="AI73" i="70"/>
  <c r="AH73" i="70"/>
  <c r="AI72" i="70"/>
  <c r="AH72" i="70"/>
  <c r="AG72" i="70"/>
  <c r="AF72" i="70"/>
  <c r="AE72" i="70"/>
  <c r="AD72" i="70"/>
  <c r="AC72" i="70"/>
  <c r="AB72" i="70"/>
  <c r="AA72" i="70"/>
  <c r="Z72" i="70"/>
  <c r="Y72" i="70"/>
  <c r="X72" i="70"/>
  <c r="W72" i="70"/>
  <c r="V72" i="70"/>
  <c r="U72" i="70"/>
  <c r="T72" i="70"/>
  <c r="S72" i="70"/>
  <c r="R72" i="70"/>
  <c r="Q72" i="70"/>
  <c r="P72" i="70"/>
  <c r="O72" i="70"/>
  <c r="N72" i="70"/>
  <c r="M72" i="70"/>
  <c r="L72" i="70"/>
  <c r="B72" i="70"/>
  <c r="AI71" i="70"/>
  <c r="AH71" i="70"/>
  <c r="AI70" i="70"/>
  <c r="AH70" i="70"/>
  <c r="AI69" i="70"/>
  <c r="AH69" i="70"/>
  <c r="AI68" i="70"/>
  <c r="AH68" i="70"/>
  <c r="AG68" i="70"/>
  <c r="AF68" i="70"/>
  <c r="AE68" i="70"/>
  <c r="AD68" i="70"/>
  <c r="AC68" i="70"/>
  <c r="AB68" i="70"/>
  <c r="AA68" i="70"/>
  <c r="Z68" i="70"/>
  <c r="Y68" i="70"/>
  <c r="X68" i="70"/>
  <c r="W68" i="70"/>
  <c r="V68" i="70"/>
  <c r="U68" i="70"/>
  <c r="T68" i="70"/>
  <c r="S68" i="70"/>
  <c r="R68" i="70"/>
  <c r="Q68" i="70"/>
  <c r="P68" i="70"/>
  <c r="O68" i="70"/>
  <c r="N68" i="70"/>
  <c r="M68" i="70"/>
  <c r="L68" i="70"/>
  <c r="K68" i="70"/>
  <c r="J68" i="70"/>
  <c r="I68" i="70"/>
  <c r="H68" i="70"/>
  <c r="G68" i="70"/>
  <c r="F68" i="70"/>
  <c r="E68" i="70"/>
  <c r="D68" i="70"/>
  <c r="C68" i="70"/>
  <c r="B68" i="70"/>
  <c r="AI67" i="70"/>
  <c r="AH67" i="70"/>
  <c r="AG67" i="70"/>
  <c r="AI66" i="70"/>
  <c r="AH66" i="70"/>
  <c r="AI65" i="70"/>
  <c r="AH65" i="70"/>
  <c r="AI64" i="70"/>
  <c r="AH64" i="70"/>
  <c r="AI63" i="70"/>
  <c r="AH63" i="70"/>
  <c r="AI62" i="70"/>
  <c r="AH62" i="70"/>
  <c r="AI61" i="70"/>
  <c r="AH61" i="70"/>
  <c r="AI60" i="70"/>
  <c r="AH60" i="70"/>
  <c r="AI59" i="70"/>
  <c r="AH59" i="70"/>
  <c r="AI58" i="70"/>
  <c r="AH58" i="70"/>
  <c r="AI57" i="70"/>
  <c r="AH57" i="70"/>
  <c r="AI56" i="70"/>
  <c r="AH56" i="70"/>
  <c r="AI55" i="70"/>
  <c r="AH55" i="70"/>
  <c r="AI54" i="70"/>
  <c r="AH54" i="70"/>
  <c r="AG54" i="70"/>
  <c r="AF54" i="70"/>
  <c r="AE54" i="70"/>
  <c r="AD54" i="70"/>
  <c r="AC54" i="70"/>
  <c r="AB54" i="70"/>
  <c r="AA54" i="70"/>
  <c r="Z54" i="70"/>
  <c r="Y54" i="70"/>
  <c r="X54" i="70"/>
  <c r="W54" i="70"/>
  <c r="V54" i="70"/>
  <c r="U54" i="70"/>
  <c r="T54" i="70"/>
  <c r="S54" i="70"/>
  <c r="R54" i="70"/>
  <c r="Q54" i="70"/>
  <c r="P54" i="70"/>
  <c r="O54" i="70"/>
  <c r="N54" i="70"/>
  <c r="M54" i="70"/>
  <c r="L54" i="70"/>
  <c r="K54" i="70"/>
  <c r="J54" i="70"/>
  <c r="I54" i="70"/>
  <c r="H54" i="70"/>
  <c r="G54" i="70"/>
  <c r="F54" i="70"/>
  <c r="E54" i="70"/>
  <c r="D54" i="70"/>
  <c r="C54" i="70"/>
  <c r="B54" i="70"/>
  <c r="AI53" i="70"/>
  <c r="AH53" i="70"/>
  <c r="AI52" i="70"/>
  <c r="AH52" i="70"/>
  <c r="AI51" i="70"/>
  <c r="AH51" i="70"/>
  <c r="AI50" i="70"/>
  <c r="AH50" i="70"/>
  <c r="AG50" i="70"/>
  <c r="AF50" i="70"/>
  <c r="AE50" i="70"/>
  <c r="AD50" i="70"/>
  <c r="AC50" i="70"/>
  <c r="AB50" i="70"/>
  <c r="AA50" i="70"/>
  <c r="Z50" i="70"/>
  <c r="Y50" i="70"/>
  <c r="X50" i="70"/>
  <c r="W50" i="70"/>
  <c r="V50" i="70"/>
  <c r="U50" i="70"/>
  <c r="T50" i="70"/>
  <c r="S50" i="70"/>
  <c r="R50" i="70"/>
  <c r="Q50" i="70"/>
  <c r="P50" i="70"/>
  <c r="O50" i="70"/>
  <c r="N50" i="70"/>
  <c r="M50" i="70"/>
  <c r="L50" i="70"/>
  <c r="K50" i="70"/>
  <c r="J50" i="70"/>
  <c r="I50" i="70"/>
  <c r="H50" i="70"/>
  <c r="G50" i="70"/>
  <c r="F50" i="70"/>
  <c r="E50" i="70"/>
  <c r="D50" i="70"/>
  <c r="C50" i="70"/>
  <c r="B50" i="70"/>
  <c r="AI49" i="70"/>
  <c r="AH49" i="70"/>
  <c r="AI48" i="70"/>
  <c r="AH48" i="70"/>
  <c r="AI47" i="70"/>
  <c r="AH47" i="70"/>
  <c r="AI46" i="70"/>
  <c r="AH46" i="70"/>
  <c r="AI45" i="70"/>
  <c r="AH45" i="70"/>
  <c r="AI44" i="70"/>
  <c r="AH44" i="70"/>
  <c r="AI43" i="70"/>
  <c r="AH43" i="70"/>
  <c r="AI42" i="70"/>
  <c r="AH42" i="70"/>
  <c r="AI41" i="70"/>
  <c r="AH41" i="70"/>
  <c r="AI40" i="70"/>
  <c r="AH40" i="70"/>
  <c r="AI39" i="70"/>
  <c r="AH39" i="70"/>
  <c r="AI38" i="70"/>
  <c r="AH38" i="70"/>
  <c r="AI37" i="70"/>
  <c r="AH37" i="70"/>
  <c r="AI36" i="70"/>
  <c r="AH36" i="70"/>
  <c r="AI35" i="70"/>
  <c r="AH35" i="70"/>
  <c r="AI34" i="70"/>
  <c r="AH34" i="70"/>
  <c r="AI33" i="70"/>
  <c r="AH33" i="70"/>
  <c r="AI32" i="70"/>
  <c r="AH32" i="70"/>
  <c r="AI31" i="70"/>
  <c r="AH31" i="70"/>
  <c r="AI30" i="70"/>
  <c r="AH30" i="70"/>
  <c r="AI29" i="70"/>
  <c r="AH29" i="70"/>
  <c r="AI28" i="70"/>
  <c r="AH28" i="70"/>
  <c r="AI27" i="70"/>
  <c r="AH27" i="70"/>
  <c r="AI26" i="70"/>
  <c r="AH26" i="70"/>
  <c r="AI25" i="70"/>
  <c r="AH25" i="70"/>
  <c r="AI24" i="70"/>
  <c r="AH24" i="70"/>
  <c r="AI23" i="70"/>
  <c r="AH23" i="70"/>
  <c r="AI22" i="70"/>
  <c r="AH22" i="70"/>
  <c r="AI21" i="70"/>
  <c r="AH21" i="70"/>
  <c r="AI20" i="70"/>
  <c r="AH20" i="70"/>
  <c r="AI19" i="70"/>
  <c r="AH19" i="70"/>
  <c r="AI18" i="70"/>
  <c r="AH18" i="70"/>
  <c r="AI17" i="70"/>
  <c r="AH17" i="70"/>
  <c r="AI16" i="70"/>
  <c r="AH16" i="70"/>
  <c r="AI15" i="70"/>
  <c r="AH15" i="70"/>
  <c r="AI14" i="70"/>
  <c r="AH14" i="70"/>
  <c r="AI13" i="70"/>
  <c r="AH13" i="70"/>
  <c r="AI12" i="70"/>
  <c r="AH12" i="70"/>
  <c r="AI11" i="70"/>
  <c r="AH11" i="70"/>
  <c r="AF7" i="70"/>
  <c r="AE7" i="70"/>
  <c r="AD7" i="70"/>
  <c r="AC7" i="70"/>
  <c r="AB7" i="70"/>
  <c r="AA7" i="70"/>
  <c r="Z7" i="70"/>
  <c r="Y7" i="70"/>
  <c r="X7" i="70"/>
  <c r="W7" i="70"/>
  <c r="V7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F7" i="70"/>
  <c r="E7" i="70"/>
  <c r="D7" i="70"/>
  <c r="C7" i="70"/>
  <c r="B7" i="70"/>
  <c r="A7" i="70"/>
  <c r="AG6" i="70"/>
  <c r="K6" i="70"/>
  <c r="AF5" i="70"/>
  <c r="AE5" i="70"/>
  <c r="AD5" i="70"/>
  <c r="AC5" i="70"/>
  <c r="AB5" i="70"/>
  <c r="AA5" i="70"/>
  <c r="Z5" i="70"/>
  <c r="Y5" i="70"/>
  <c r="X5" i="70"/>
  <c r="W5" i="70"/>
  <c r="V5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F5" i="70"/>
  <c r="E5" i="70"/>
  <c r="D5" i="70"/>
  <c r="C5" i="70"/>
  <c r="B5" i="70"/>
  <c r="AG4" i="70"/>
  <c r="K4" i="70"/>
  <c r="E4" i="70"/>
  <c r="H4" i="70" s="1"/>
  <c r="B4" i="70"/>
  <c r="D246" i="70" s="1"/>
  <c r="AG3" i="70"/>
  <c r="AG2" i="70"/>
  <c r="AF274" i="69"/>
  <c r="AE274" i="69"/>
  <c r="AD274" i="69"/>
  <c r="AC274" i="69"/>
  <c r="AB274" i="69"/>
  <c r="AA274" i="69"/>
  <c r="Z274" i="69"/>
  <c r="Y274" i="69"/>
  <c r="X274" i="69"/>
  <c r="W274" i="69"/>
  <c r="V274" i="69"/>
  <c r="U274" i="69"/>
  <c r="T274" i="69"/>
  <c r="S274" i="69"/>
  <c r="R274" i="69"/>
  <c r="Q274" i="69"/>
  <c r="P274" i="69"/>
  <c r="O274" i="69"/>
  <c r="N274" i="69"/>
  <c r="M274" i="69"/>
  <c r="L274" i="69"/>
  <c r="K274" i="69"/>
  <c r="J274" i="69"/>
  <c r="I274" i="69"/>
  <c r="H274" i="69"/>
  <c r="G274" i="69"/>
  <c r="F274" i="69"/>
  <c r="E274" i="69"/>
  <c r="D274" i="69"/>
  <c r="C274" i="69"/>
  <c r="B274" i="69"/>
  <c r="A274" i="69"/>
  <c r="AF273" i="69"/>
  <c r="AE273" i="69"/>
  <c r="AD273" i="69"/>
  <c r="AC273" i="69"/>
  <c r="AB273" i="69"/>
  <c r="AA273" i="69"/>
  <c r="Z273" i="69"/>
  <c r="Y273" i="69"/>
  <c r="X273" i="69"/>
  <c r="W273" i="69"/>
  <c r="V273" i="69"/>
  <c r="U273" i="69"/>
  <c r="T273" i="69"/>
  <c r="S273" i="69"/>
  <c r="R273" i="69"/>
  <c r="Q273" i="69"/>
  <c r="P273" i="69"/>
  <c r="O273" i="69"/>
  <c r="N273" i="69"/>
  <c r="M273" i="69"/>
  <c r="L273" i="69"/>
  <c r="K273" i="69"/>
  <c r="J273" i="69"/>
  <c r="I273" i="69"/>
  <c r="H273" i="69"/>
  <c r="G273" i="69"/>
  <c r="F273" i="69"/>
  <c r="E273" i="69"/>
  <c r="D273" i="69"/>
  <c r="C273" i="69"/>
  <c r="B273" i="69"/>
  <c r="A273" i="69"/>
  <c r="AF272" i="69"/>
  <c r="AE272" i="69"/>
  <c r="AD272" i="69"/>
  <c r="AC272" i="69"/>
  <c r="AB272" i="69"/>
  <c r="AA272" i="69"/>
  <c r="Z272" i="69"/>
  <c r="Y272" i="69"/>
  <c r="X272" i="69"/>
  <c r="W272" i="69"/>
  <c r="V272" i="69"/>
  <c r="U272" i="69"/>
  <c r="T272" i="69"/>
  <c r="S272" i="69"/>
  <c r="R272" i="69"/>
  <c r="Q272" i="69"/>
  <c r="P272" i="69"/>
  <c r="O272" i="69"/>
  <c r="N272" i="69"/>
  <c r="M272" i="69"/>
  <c r="L272" i="69"/>
  <c r="K272" i="69"/>
  <c r="J272" i="69"/>
  <c r="I272" i="69"/>
  <c r="H272" i="69"/>
  <c r="G272" i="69"/>
  <c r="F272" i="69"/>
  <c r="E272" i="69"/>
  <c r="D272" i="69"/>
  <c r="C272" i="69"/>
  <c r="B272" i="69"/>
  <c r="A272" i="69"/>
  <c r="AF271" i="69"/>
  <c r="AE271" i="69"/>
  <c r="AD271" i="69"/>
  <c r="AC271" i="69"/>
  <c r="AB271" i="69"/>
  <c r="AA271" i="69"/>
  <c r="Z271" i="69"/>
  <c r="Y271" i="69"/>
  <c r="X271" i="69"/>
  <c r="W271" i="69"/>
  <c r="V271" i="69"/>
  <c r="U271" i="69"/>
  <c r="T271" i="69"/>
  <c r="S271" i="69"/>
  <c r="R271" i="69"/>
  <c r="Q271" i="69"/>
  <c r="P271" i="69"/>
  <c r="O271" i="69"/>
  <c r="N271" i="69"/>
  <c r="M271" i="69"/>
  <c r="L271" i="69"/>
  <c r="K271" i="69"/>
  <c r="J271" i="69"/>
  <c r="I271" i="69"/>
  <c r="H271" i="69"/>
  <c r="G271" i="69"/>
  <c r="F271" i="69"/>
  <c r="E271" i="69"/>
  <c r="D271" i="69"/>
  <c r="C271" i="69"/>
  <c r="B271" i="69"/>
  <c r="A271" i="69"/>
  <c r="AF270" i="69"/>
  <c r="AE270" i="69"/>
  <c r="AD270" i="69"/>
  <c r="AC270" i="69"/>
  <c r="AB270" i="69"/>
  <c r="AA270" i="69"/>
  <c r="Z270" i="69"/>
  <c r="Y270" i="69"/>
  <c r="X270" i="69"/>
  <c r="W270" i="69"/>
  <c r="V270" i="69"/>
  <c r="U270" i="69"/>
  <c r="T270" i="69"/>
  <c r="S270" i="69"/>
  <c r="R270" i="69"/>
  <c r="Q270" i="69"/>
  <c r="P270" i="69"/>
  <c r="O270" i="69"/>
  <c r="N270" i="69"/>
  <c r="M270" i="69"/>
  <c r="L270" i="69"/>
  <c r="K270" i="69"/>
  <c r="J270" i="69"/>
  <c r="I270" i="69"/>
  <c r="H270" i="69"/>
  <c r="G270" i="69"/>
  <c r="F270" i="69"/>
  <c r="E270" i="69"/>
  <c r="D270" i="69"/>
  <c r="C270" i="69"/>
  <c r="B270" i="69"/>
  <c r="AX249" i="69"/>
  <c r="AW249" i="69"/>
  <c r="AV249" i="69"/>
  <c r="AU249" i="69"/>
  <c r="AT249" i="69"/>
  <c r="AS249" i="69"/>
  <c r="AR249" i="69"/>
  <c r="AQ249" i="69"/>
  <c r="AP249" i="69"/>
  <c r="AO249" i="69"/>
  <c r="AN249" i="69"/>
  <c r="AM249" i="69"/>
  <c r="AL249" i="69"/>
  <c r="AK249" i="69"/>
  <c r="AJ249" i="69"/>
  <c r="AI249" i="69"/>
  <c r="AH249" i="69"/>
  <c r="AG249" i="69"/>
  <c r="AF249" i="69"/>
  <c r="AE249" i="69"/>
  <c r="AD249" i="69"/>
  <c r="AC249" i="69"/>
  <c r="AB249" i="69"/>
  <c r="AA249" i="69"/>
  <c r="Z249" i="69"/>
  <c r="Y249" i="69"/>
  <c r="X249" i="69"/>
  <c r="W249" i="69"/>
  <c r="V249" i="69"/>
  <c r="U249" i="69"/>
  <c r="T249" i="69"/>
  <c r="S245" i="69"/>
  <c r="C244" i="69"/>
  <c r="B244" i="69"/>
  <c r="AG235" i="69"/>
  <c r="AF235" i="69"/>
  <c r="AE235" i="69"/>
  <c r="AD235" i="69"/>
  <c r="AC235" i="69"/>
  <c r="AB235" i="69"/>
  <c r="AA235" i="69"/>
  <c r="Z235" i="69"/>
  <c r="Y235" i="69"/>
  <c r="X235" i="69"/>
  <c r="W235" i="69"/>
  <c r="V235" i="69"/>
  <c r="U235" i="69"/>
  <c r="T235" i="69"/>
  <c r="S235" i="69"/>
  <c r="R235" i="69"/>
  <c r="Q235" i="69"/>
  <c r="H235" i="69"/>
  <c r="G235" i="69"/>
  <c r="F235" i="69"/>
  <c r="E235" i="69"/>
  <c r="D235" i="69"/>
  <c r="C235" i="69"/>
  <c r="B235" i="69"/>
  <c r="P234" i="69"/>
  <c r="O234" i="69"/>
  <c r="N234" i="69"/>
  <c r="M234" i="69"/>
  <c r="L234" i="69"/>
  <c r="K234" i="69"/>
  <c r="J234" i="69"/>
  <c r="I234" i="69"/>
  <c r="H234" i="69"/>
  <c r="G234" i="69"/>
  <c r="F234" i="69"/>
  <c r="E234" i="69"/>
  <c r="D234" i="69"/>
  <c r="B234" i="69"/>
  <c r="P233" i="69"/>
  <c r="O233" i="69"/>
  <c r="N233" i="69"/>
  <c r="M233" i="69"/>
  <c r="L233" i="69"/>
  <c r="K233" i="69"/>
  <c r="J233" i="69"/>
  <c r="I233" i="69"/>
  <c r="H233" i="69"/>
  <c r="G233" i="69"/>
  <c r="F233" i="69"/>
  <c r="E233" i="69"/>
  <c r="D233" i="69"/>
  <c r="B233" i="69"/>
  <c r="P232" i="69"/>
  <c r="O232" i="69"/>
  <c r="N232" i="69"/>
  <c r="M232" i="69"/>
  <c r="L232" i="69"/>
  <c r="K232" i="69"/>
  <c r="J232" i="69"/>
  <c r="I232" i="69"/>
  <c r="H232" i="69"/>
  <c r="G232" i="69"/>
  <c r="F232" i="69"/>
  <c r="E232" i="69"/>
  <c r="D232" i="69"/>
  <c r="B232" i="69"/>
  <c r="H231" i="69"/>
  <c r="G231" i="69"/>
  <c r="F231" i="69"/>
  <c r="E231" i="69"/>
  <c r="D231" i="69"/>
  <c r="B231" i="69"/>
  <c r="P230" i="69"/>
  <c r="O230" i="69"/>
  <c r="N230" i="69"/>
  <c r="M230" i="69"/>
  <c r="L230" i="69"/>
  <c r="K230" i="69"/>
  <c r="J230" i="69"/>
  <c r="I230" i="69"/>
  <c r="H230" i="69"/>
  <c r="G230" i="69"/>
  <c r="F230" i="69"/>
  <c r="E230" i="69"/>
  <c r="D230" i="69"/>
  <c r="B230" i="69"/>
  <c r="P229" i="69"/>
  <c r="O229" i="69"/>
  <c r="N229" i="69"/>
  <c r="M229" i="69"/>
  <c r="L229" i="69"/>
  <c r="K229" i="69"/>
  <c r="J229" i="69"/>
  <c r="I229" i="69"/>
  <c r="H229" i="69"/>
  <c r="G229" i="69"/>
  <c r="F229" i="69"/>
  <c r="E229" i="69"/>
  <c r="D229" i="69"/>
  <c r="B229" i="69"/>
  <c r="AG227" i="69"/>
  <c r="AF227" i="69"/>
  <c r="AE227" i="69"/>
  <c r="AD227" i="69"/>
  <c r="AC227" i="69"/>
  <c r="AB227" i="69"/>
  <c r="AA227" i="69"/>
  <c r="Z227" i="69"/>
  <c r="Y227" i="69"/>
  <c r="X227" i="69"/>
  <c r="W227" i="69"/>
  <c r="V227" i="69"/>
  <c r="U227" i="69"/>
  <c r="T227" i="69"/>
  <c r="S227" i="69"/>
  <c r="R227" i="69"/>
  <c r="Q227" i="69"/>
  <c r="P227" i="69"/>
  <c r="O227" i="69"/>
  <c r="N227" i="69"/>
  <c r="M227" i="69"/>
  <c r="L227" i="69"/>
  <c r="K227" i="69"/>
  <c r="J227" i="69"/>
  <c r="I227" i="69"/>
  <c r="H227" i="69"/>
  <c r="G227" i="69"/>
  <c r="F227" i="69"/>
  <c r="E227" i="69"/>
  <c r="D227" i="69"/>
  <c r="C227" i="69"/>
  <c r="B227" i="69"/>
  <c r="AI120" i="69"/>
  <c r="AH120" i="69"/>
  <c r="AI119" i="69"/>
  <c r="AH119" i="69"/>
  <c r="AI118" i="69"/>
  <c r="AH118" i="69"/>
  <c r="AI117" i="69"/>
  <c r="AH117" i="69"/>
  <c r="AI116" i="69"/>
  <c r="AH116" i="69"/>
  <c r="AI115" i="69"/>
  <c r="AH115" i="69"/>
  <c r="AI114" i="69"/>
  <c r="AH114" i="69"/>
  <c r="AI113" i="69"/>
  <c r="AH113" i="69"/>
  <c r="AI112" i="69"/>
  <c r="AH112" i="69"/>
  <c r="AI111" i="69"/>
  <c r="AH111" i="69"/>
  <c r="AI110" i="69"/>
  <c r="AH110" i="69"/>
  <c r="AF110" i="69"/>
  <c r="AE110" i="69"/>
  <c r="AC110" i="69"/>
  <c r="AB110" i="69"/>
  <c r="AA110" i="69"/>
  <c r="Z110" i="69"/>
  <c r="Y110" i="69"/>
  <c r="X110" i="69"/>
  <c r="W110" i="69"/>
  <c r="V110" i="69"/>
  <c r="U110" i="69"/>
  <c r="T110" i="69"/>
  <c r="S110" i="69"/>
  <c r="R110" i="69"/>
  <c r="Q110" i="69"/>
  <c r="O110" i="69"/>
  <c r="N110" i="69"/>
  <c r="M110" i="69"/>
  <c r="L110" i="69"/>
  <c r="K110" i="69"/>
  <c r="J110" i="69"/>
  <c r="I110" i="69"/>
  <c r="H110" i="69"/>
  <c r="G110" i="69"/>
  <c r="F110" i="69"/>
  <c r="E110" i="69"/>
  <c r="D110" i="69"/>
  <c r="C110" i="69"/>
  <c r="B110" i="69"/>
  <c r="AI109" i="69"/>
  <c r="AH109" i="69"/>
  <c r="AI108" i="69"/>
  <c r="AH108" i="69"/>
  <c r="AI107" i="69"/>
  <c r="AH107" i="69"/>
  <c r="AI106" i="69"/>
  <c r="AH106" i="69"/>
  <c r="AI105" i="69"/>
  <c r="AH105" i="69"/>
  <c r="AI104" i="69"/>
  <c r="AH104" i="69"/>
  <c r="AI103" i="69"/>
  <c r="AH103" i="69"/>
  <c r="AI102" i="69"/>
  <c r="AH102" i="69"/>
  <c r="AI101" i="69"/>
  <c r="AH101" i="69"/>
  <c r="AI100" i="69"/>
  <c r="AH100" i="69"/>
  <c r="AF100" i="69"/>
  <c r="AE100" i="69"/>
  <c r="AD100" i="69"/>
  <c r="AC100" i="69"/>
  <c r="AB100" i="69"/>
  <c r="AA100" i="69"/>
  <c r="Z100" i="69"/>
  <c r="Y100" i="69"/>
  <c r="X100" i="69"/>
  <c r="W100" i="69"/>
  <c r="V100" i="69"/>
  <c r="U100" i="69"/>
  <c r="T100" i="69"/>
  <c r="S100" i="69"/>
  <c r="R100" i="69"/>
  <c r="Q100" i="69"/>
  <c r="P100" i="69"/>
  <c r="O100" i="69"/>
  <c r="N100" i="69"/>
  <c r="M100" i="69"/>
  <c r="L100" i="69"/>
  <c r="K100" i="69"/>
  <c r="J100" i="69"/>
  <c r="I100" i="69"/>
  <c r="H100" i="69"/>
  <c r="G100" i="69"/>
  <c r="F100" i="69"/>
  <c r="E100" i="69"/>
  <c r="D100" i="69"/>
  <c r="C100" i="69"/>
  <c r="B100" i="69"/>
  <c r="AI99" i="69"/>
  <c r="AH99" i="69"/>
  <c r="AF99" i="69"/>
  <c r="AE99" i="69"/>
  <c r="AD99" i="69"/>
  <c r="AC99" i="69"/>
  <c r="AB99" i="69"/>
  <c r="AA99" i="69"/>
  <c r="Z99" i="69"/>
  <c r="Y99" i="69"/>
  <c r="X99" i="69"/>
  <c r="W99" i="69"/>
  <c r="V99" i="69"/>
  <c r="U99" i="69"/>
  <c r="T99" i="69"/>
  <c r="S99" i="69"/>
  <c r="R99" i="69"/>
  <c r="Q99" i="69"/>
  <c r="P99" i="69"/>
  <c r="O99" i="69"/>
  <c r="N99" i="69"/>
  <c r="M99" i="69"/>
  <c r="L99" i="69"/>
  <c r="K99" i="69"/>
  <c r="J99" i="69"/>
  <c r="I99" i="69"/>
  <c r="H99" i="69"/>
  <c r="G99" i="69"/>
  <c r="F99" i="69"/>
  <c r="E99" i="69"/>
  <c r="D99" i="69"/>
  <c r="C99" i="69"/>
  <c r="B99" i="69"/>
  <c r="AI98" i="69"/>
  <c r="AH98" i="69"/>
  <c r="AI97" i="69"/>
  <c r="AH97" i="69"/>
  <c r="AI96" i="69"/>
  <c r="AH96" i="69"/>
  <c r="AI95" i="69"/>
  <c r="AH95" i="69"/>
  <c r="AI94" i="69"/>
  <c r="AH94" i="69"/>
  <c r="AI93" i="69"/>
  <c r="AH93" i="69"/>
  <c r="AI92" i="69"/>
  <c r="AH92" i="69"/>
  <c r="AF92" i="69"/>
  <c r="AE92" i="69"/>
  <c r="AD92" i="69"/>
  <c r="AC92" i="69"/>
  <c r="AB92" i="69"/>
  <c r="AA92" i="69"/>
  <c r="Z92" i="69"/>
  <c r="Y92" i="69"/>
  <c r="X92" i="69"/>
  <c r="W92" i="69"/>
  <c r="V92" i="69"/>
  <c r="U92" i="69"/>
  <c r="T92" i="69"/>
  <c r="S92" i="69"/>
  <c r="R92" i="69"/>
  <c r="Q92" i="69"/>
  <c r="P92" i="69"/>
  <c r="O92" i="69"/>
  <c r="N92" i="69"/>
  <c r="M92" i="69"/>
  <c r="L92" i="69"/>
  <c r="K92" i="69"/>
  <c r="J92" i="69"/>
  <c r="I92" i="69"/>
  <c r="H92" i="69"/>
  <c r="G92" i="69"/>
  <c r="F92" i="69"/>
  <c r="E92" i="69"/>
  <c r="D92" i="69"/>
  <c r="C92" i="69"/>
  <c r="B92" i="69"/>
  <c r="AI91" i="69"/>
  <c r="AH91" i="69"/>
  <c r="AG91" i="69"/>
  <c r="AF91" i="69"/>
  <c r="AE91" i="69"/>
  <c r="AD91" i="69"/>
  <c r="AC91" i="69"/>
  <c r="AB91" i="69"/>
  <c r="AA91" i="69"/>
  <c r="Z91" i="69"/>
  <c r="Y91" i="69"/>
  <c r="X91" i="69"/>
  <c r="W91" i="69"/>
  <c r="V91" i="69"/>
  <c r="U91" i="69"/>
  <c r="T91" i="69"/>
  <c r="S91" i="69"/>
  <c r="R91" i="69"/>
  <c r="Q91" i="69"/>
  <c r="P91" i="69"/>
  <c r="O91" i="69"/>
  <c r="N91" i="69"/>
  <c r="M91" i="69"/>
  <c r="L91" i="69"/>
  <c r="K91" i="69"/>
  <c r="J91" i="69"/>
  <c r="I91" i="69"/>
  <c r="H91" i="69"/>
  <c r="G91" i="69"/>
  <c r="F91" i="69"/>
  <c r="E91" i="69"/>
  <c r="D91" i="69"/>
  <c r="C91" i="69"/>
  <c r="B91" i="69"/>
  <c r="AI90" i="69"/>
  <c r="AH90" i="69"/>
  <c r="AI89" i="69"/>
  <c r="AH89" i="69"/>
  <c r="AG89" i="69"/>
  <c r="AF89" i="69"/>
  <c r="AE89" i="69"/>
  <c r="AD89" i="69"/>
  <c r="AC89" i="69"/>
  <c r="AB89" i="69"/>
  <c r="AA89" i="69"/>
  <c r="Z89" i="69"/>
  <c r="Y89" i="69"/>
  <c r="X89" i="69"/>
  <c r="W89" i="69"/>
  <c r="V89" i="69"/>
  <c r="U89" i="69"/>
  <c r="T89" i="69"/>
  <c r="S89" i="69"/>
  <c r="R89" i="69"/>
  <c r="Q89" i="69"/>
  <c r="P89" i="69"/>
  <c r="O89" i="69"/>
  <c r="N89" i="69"/>
  <c r="M89" i="69"/>
  <c r="L89" i="69"/>
  <c r="K89" i="69"/>
  <c r="J89" i="69"/>
  <c r="I89" i="69"/>
  <c r="H89" i="69"/>
  <c r="G89" i="69"/>
  <c r="F89" i="69"/>
  <c r="E89" i="69"/>
  <c r="D89" i="69"/>
  <c r="C89" i="69"/>
  <c r="B89" i="69"/>
  <c r="AI88" i="69"/>
  <c r="AH88" i="69"/>
  <c r="AG88" i="69"/>
  <c r="AI87" i="69"/>
  <c r="AH87" i="69"/>
  <c r="AI86" i="69"/>
  <c r="AH86" i="69"/>
  <c r="AI85" i="69"/>
  <c r="AH85" i="69"/>
  <c r="AI84" i="69"/>
  <c r="AH84" i="69"/>
  <c r="AG84" i="69"/>
  <c r="AF84" i="69"/>
  <c r="AE84" i="69"/>
  <c r="AD84" i="69"/>
  <c r="AC84" i="69"/>
  <c r="AB84" i="69"/>
  <c r="AA84" i="69"/>
  <c r="Z84" i="69"/>
  <c r="Y84" i="69"/>
  <c r="X84" i="69"/>
  <c r="W84" i="69"/>
  <c r="V84" i="69"/>
  <c r="U84" i="69"/>
  <c r="T84" i="69"/>
  <c r="S84" i="69"/>
  <c r="R84" i="69"/>
  <c r="Q84" i="69"/>
  <c r="P84" i="69"/>
  <c r="O84" i="69"/>
  <c r="N84" i="69"/>
  <c r="M84" i="69"/>
  <c r="L84" i="69"/>
  <c r="K84" i="69"/>
  <c r="J84" i="69"/>
  <c r="I84" i="69"/>
  <c r="H84" i="69"/>
  <c r="G84" i="69"/>
  <c r="F84" i="69"/>
  <c r="E84" i="69"/>
  <c r="D84" i="69"/>
  <c r="C84" i="69"/>
  <c r="B84" i="69"/>
  <c r="AI83" i="69"/>
  <c r="AH83" i="69"/>
  <c r="AI82" i="69"/>
  <c r="AH82" i="69"/>
  <c r="AI81" i="69"/>
  <c r="AH81" i="69"/>
  <c r="AI80" i="69"/>
  <c r="AH80" i="69"/>
  <c r="AI79" i="69"/>
  <c r="AH79" i="69"/>
  <c r="AI78" i="69"/>
  <c r="AH78" i="69"/>
  <c r="AI77" i="69"/>
  <c r="AH77" i="69"/>
  <c r="AI76" i="69"/>
  <c r="AH76" i="69"/>
  <c r="AI75" i="69"/>
  <c r="AH75" i="69"/>
  <c r="AI74" i="69"/>
  <c r="AH74" i="69"/>
  <c r="AI73" i="69"/>
  <c r="AH73" i="69"/>
  <c r="AI72" i="69"/>
  <c r="AH72" i="69"/>
  <c r="AG72" i="69"/>
  <c r="AF72" i="69"/>
  <c r="AE72" i="69"/>
  <c r="AD72" i="69"/>
  <c r="AC72" i="69"/>
  <c r="AB72" i="69"/>
  <c r="AA72" i="69"/>
  <c r="Z72" i="69"/>
  <c r="Y72" i="69"/>
  <c r="X72" i="69"/>
  <c r="W72" i="69"/>
  <c r="V72" i="69"/>
  <c r="U72" i="69"/>
  <c r="T72" i="69"/>
  <c r="S72" i="69"/>
  <c r="R72" i="69"/>
  <c r="Q72" i="69"/>
  <c r="P72" i="69"/>
  <c r="O72" i="69"/>
  <c r="N72" i="69"/>
  <c r="M72" i="69"/>
  <c r="L72" i="69"/>
  <c r="B72" i="69"/>
  <c r="AI71" i="69"/>
  <c r="AH71" i="69"/>
  <c r="AI70" i="69"/>
  <c r="AH70" i="69"/>
  <c r="AI69" i="69"/>
  <c r="AH69" i="69"/>
  <c r="AI68" i="69"/>
  <c r="AH68" i="69"/>
  <c r="AG68" i="69"/>
  <c r="AF68" i="69"/>
  <c r="AE68" i="69"/>
  <c r="AD68" i="69"/>
  <c r="AC68" i="69"/>
  <c r="AB68" i="69"/>
  <c r="AA68" i="69"/>
  <c r="Z68" i="69"/>
  <c r="Y68" i="69"/>
  <c r="X68" i="69"/>
  <c r="W68" i="69"/>
  <c r="V68" i="69"/>
  <c r="U68" i="69"/>
  <c r="T68" i="69"/>
  <c r="S68" i="69"/>
  <c r="R68" i="69"/>
  <c r="Q68" i="69"/>
  <c r="P68" i="69"/>
  <c r="O68" i="69"/>
  <c r="N68" i="69"/>
  <c r="M68" i="69"/>
  <c r="L68" i="69"/>
  <c r="K68" i="69"/>
  <c r="J68" i="69"/>
  <c r="I68" i="69"/>
  <c r="H68" i="69"/>
  <c r="G68" i="69"/>
  <c r="F68" i="69"/>
  <c r="E68" i="69"/>
  <c r="D68" i="69"/>
  <c r="C68" i="69"/>
  <c r="B68" i="69"/>
  <c r="AI67" i="69"/>
  <c r="AH67" i="69"/>
  <c r="AG67" i="69"/>
  <c r="AI66" i="69"/>
  <c r="AH66" i="69"/>
  <c r="AI65" i="69"/>
  <c r="AH65" i="69"/>
  <c r="AI64" i="69"/>
  <c r="AH64" i="69"/>
  <c r="AI63" i="69"/>
  <c r="AH63" i="69"/>
  <c r="AI62" i="69"/>
  <c r="AH62" i="69"/>
  <c r="AI61" i="69"/>
  <c r="AH61" i="69"/>
  <c r="AI60" i="69"/>
  <c r="AH60" i="69"/>
  <c r="AI59" i="69"/>
  <c r="AH59" i="69"/>
  <c r="AI58" i="69"/>
  <c r="AH58" i="69"/>
  <c r="AI57" i="69"/>
  <c r="AH57" i="69"/>
  <c r="AI56" i="69"/>
  <c r="AH56" i="69"/>
  <c r="AI55" i="69"/>
  <c r="AH55" i="69"/>
  <c r="AI54" i="69"/>
  <c r="AH54" i="69"/>
  <c r="AG54" i="69"/>
  <c r="AF54" i="69"/>
  <c r="AE54" i="69"/>
  <c r="AD54" i="69"/>
  <c r="AC54" i="69"/>
  <c r="AB54" i="69"/>
  <c r="AA54" i="69"/>
  <c r="Z54" i="69"/>
  <c r="Y54" i="69"/>
  <c r="X54" i="69"/>
  <c r="W54" i="69"/>
  <c r="V54" i="69"/>
  <c r="U54" i="69"/>
  <c r="T54" i="69"/>
  <c r="S54" i="69"/>
  <c r="R54" i="69"/>
  <c r="Q54" i="69"/>
  <c r="P54" i="69"/>
  <c r="O54" i="69"/>
  <c r="N54" i="69"/>
  <c r="M54" i="69"/>
  <c r="L54" i="69"/>
  <c r="K54" i="69"/>
  <c r="J54" i="69"/>
  <c r="I54" i="69"/>
  <c r="H54" i="69"/>
  <c r="G54" i="69"/>
  <c r="F54" i="69"/>
  <c r="E54" i="69"/>
  <c r="D54" i="69"/>
  <c r="C54" i="69"/>
  <c r="B54" i="69"/>
  <c r="AI53" i="69"/>
  <c r="AH53" i="69"/>
  <c r="AI52" i="69"/>
  <c r="AH52" i="69"/>
  <c r="AI51" i="69"/>
  <c r="AH51" i="69"/>
  <c r="AI50" i="69"/>
  <c r="AH50" i="69"/>
  <c r="AG50" i="69"/>
  <c r="AF50" i="69"/>
  <c r="AE50" i="69"/>
  <c r="AD50" i="69"/>
  <c r="AC50" i="69"/>
  <c r="AB50" i="69"/>
  <c r="AA50" i="69"/>
  <c r="Z50" i="69"/>
  <c r="Y50" i="69"/>
  <c r="X50" i="69"/>
  <c r="W50" i="69"/>
  <c r="V50" i="69"/>
  <c r="U50" i="69"/>
  <c r="T50" i="69"/>
  <c r="S50" i="69"/>
  <c r="R50" i="69"/>
  <c r="Q50" i="69"/>
  <c r="P50" i="69"/>
  <c r="O50" i="69"/>
  <c r="N50" i="69"/>
  <c r="M50" i="69"/>
  <c r="L50" i="69"/>
  <c r="K50" i="69"/>
  <c r="J50" i="69"/>
  <c r="I50" i="69"/>
  <c r="H50" i="69"/>
  <c r="G50" i="69"/>
  <c r="F50" i="69"/>
  <c r="E50" i="69"/>
  <c r="D50" i="69"/>
  <c r="C50" i="69"/>
  <c r="B50" i="69"/>
  <c r="AI49" i="69"/>
  <c r="AH49" i="69"/>
  <c r="AI48" i="69"/>
  <c r="AH48" i="69"/>
  <c r="AI47" i="69"/>
  <c r="AH47" i="69"/>
  <c r="AI46" i="69"/>
  <c r="AH46" i="69"/>
  <c r="AI45" i="69"/>
  <c r="AH45" i="69"/>
  <c r="AI44" i="69"/>
  <c r="AH44" i="69"/>
  <c r="AI43" i="69"/>
  <c r="AH43" i="69"/>
  <c r="AI42" i="69"/>
  <c r="AH42" i="69"/>
  <c r="AI41" i="69"/>
  <c r="AH41" i="69"/>
  <c r="AI40" i="69"/>
  <c r="AH40" i="69"/>
  <c r="AI39" i="69"/>
  <c r="AH39" i="69"/>
  <c r="AI38" i="69"/>
  <c r="AH38" i="69"/>
  <c r="AI37" i="69"/>
  <c r="AH37" i="69"/>
  <c r="AI36" i="69"/>
  <c r="AH36" i="69"/>
  <c r="AI35" i="69"/>
  <c r="AH35" i="69"/>
  <c r="AI34" i="69"/>
  <c r="AH34" i="69"/>
  <c r="AI33" i="69"/>
  <c r="AH33" i="69"/>
  <c r="AI32" i="69"/>
  <c r="AH32" i="69"/>
  <c r="AI31" i="69"/>
  <c r="AH31" i="69"/>
  <c r="AI30" i="69"/>
  <c r="AH30" i="69"/>
  <c r="AI29" i="69"/>
  <c r="AH29" i="69"/>
  <c r="AI28" i="69"/>
  <c r="AH28" i="69"/>
  <c r="AI27" i="69"/>
  <c r="AH27" i="69"/>
  <c r="AI26" i="69"/>
  <c r="AH26" i="69"/>
  <c r="AI25" i="69"/>
  <c r="AH25" i="69"/>
  <c r="AI24" i="69"/>
  <c r="AH24" i="69"/>
  <c r="AI23" i="69"/>
  <c r="AH23" i="69"/>
  <c r="AI22" i="69"/>
  <c r="AH22" i="69"/>
  <c r="AI21" i="69"/>
  <c r="AH21" i="69"/>
  <c r="AI20" i="69"/>
  <c r="AH20" i="69"/>
  <c r="AI19" i="69"/>
  <c r="AH19" i="69"/>
  <c r="AI18" i="69"/>
  <c r="AH18" i="69"/>
  <c r="AI17" i="69"/>
  <c r="AH17" i="69"/>
  <c r="AI16" i="69"/>
  <c r="AH16" i="69"/>
  <c r="AI15" i="69"/>
  <c r="AH15" i="69"/>
  <c r="AI14" i="69"/>
  <c r="AH14" i="69"/>
  <c r="AI13" i="69"/>
  <c r="AH13" i="69"/>
  <c r="AI12" i="69"/>
  <c r="AH12" i="69"/>
  <c r="AI11" i="69"/>
  <c r="AH11" i="69"/>
  <c r="AF7" i="69"/>
  <c r="AE7" i="69"/>
  <c r="AD7" i="69"/>
  <c r="AC7" i="69"/>
  <c r="AB7" i="69"/>
  <c r="AA7" i="69"/>
  <c r="Z7" i="69"/>
  <c r="Y7" i="69"/>
  <c r="X7" i="69"/>
  <c r="W7" i="69"/>
  <c r="V7" i="69"/>
  <c r="U7" i="69"/>
  <c r="T7" i="69"/>
  <c r="S7" i="69"/>
  <c r="R7" i="69"/>
  <c r="Q7" i="69"/>
  <c r="P7" i="69"/>
  <c r="O7" i="69"/>
  <c r="N7" i="69"/>
  <c r="M7" i="69"/>
  <c r="L7" i="69"/>
  <c r="K7" i="69"/>
  <c r="J7" i="69"/>
  <c r="I7" i="69"/>
  <c r="H7" i="69"/>
  <c r="G7" i="69"/>
  <c r="F7" i="69"/>
  <c r="E7" i="69"/>
  <c r="D7" i="69"/>
  <c r="C7" i="69"/>
  <c r="B7" i="69"/>
  <c r="A7" i="69"/>
  <c r="AG6" i="69"/>
  <c r="K6" i="69"/>
  <c r="AF5" i="69"/>
  <c r="AE5" i="69"/>
  <c r="AD5" i="69"/>
  <c r="AC5" i="69"/>
  <c r="AB5" i="69"/>
  <c r="AA5" i="69"/>
  <c r="Z5" i="69"/>
  <c r="Y5" i="69"/>
  <c r="X5" i="69"/>
  <c r="W5" i="69"/>
  <c r="V5" i="69"/>
  <c r="U5" i="69"/>
  <c r="T5" i="69"/>
  <c r="S5" i="69"/>
  <c r="R5" i="69"/>
  <c r="Q5" i="69"/>
  <c r="P5" i="69"/>
  <c r="O5" i="69"/>
  <c r="N5" i="69"/>
  <c r="M5" i="69"/>
  <c r="L5" i="69"/>
  <c r="K5" i="69"/>
  <c r="J5" i="69"/>
  <c r="I5" i="69"/>
  <c r="H5" i="69"/>
  <c r="G5" i="69"/>
  <c r="F5" i="69"/>
  <c r="E5" i="69"/>
  <c r="D5" i="69"/>
  <c r="C5" i="69"/>
  <c r="B5" i="69"/>
  <c r="AG4" i="69"/>
  <c r="K4" i="69"/>
  <c r="E4" i="69"/>
  <c r="H4" i="69" s="1"/>
  <c r="B4" i="69"/>
  <c r="S246" i="69" s="1"/>
  <c r="AG3" i="69"/>
  <c r="AG2" i="69"/>
  <c r="AF274" i="68"/>
  <c r="AE274" i="68"/>
  <c r="AD274" i="68"/>
  <c r="AC274" i="68"/>
  <c r="AB274" i="68"/>
  <c r="AA274" i="68"/>
  <c r="Z274" i="68"/>
  <c r="Y274" i="68"/>
  <c r="X274" i="68"/>
  <c r="W274" i="68"/>
  <c r="V274" i="68"/>
  <c r="U274" i="68"/>
  <c r="T274" i="68"/>
  <c r="S274" i="68"/>
  <c r="R274" i="68"/>
  <c r="Q274" i="68"/>
  <c r="P274" i="68"/>
  <c r="O274" i="68"/>
  <c r="N274" i="68"/>
  <c r="M274" i="68"/>
  <c r="L274" i="68"/>
  <c r="K274" i="68"/>
  <c r="J274" i="68"/>
  <c r="I274" i="68"/>
  <c r="H274" i="68"/>
  <c r="G274" i="68"/>
  <c r="F274" i="68"/>
  <c r="E274" i="68"/>
  <c r="D274" i="68"/>
  <c r="C274" i="68"/>
  <c r="B274" i="68"/>
  <c r="A274" i="68"/>
  <c r="AF273" i="68"/>
  <c r="AE273" i="68"/>
  <c r="AD273" i="68"/>
  <c r="AC273" i="68"/>
  <c r="AB273" i="68"/>
  <c r="AA273" i="68"/>
  <c r="Z273" i="68"/>
  <c r="Y273" i="68"/>
  <c r="X273" i="68"/>
  <c r="W273" i="68"/>
  <c r="V273" i="68"/>
  <c r="U273" i="68"/>
  <c r="T273" i="68"/>
  <c r="S273" i="68"/>
  <c r="R273" i="68"/>
  <c r="Q273" i="68"/>
  <c r="P273" i="68"/>
  <c r="O273" i="68"/>
  <c r="N273" i="68"/>
  <c r="M273" i="68"/>
  <c r="L273" i="68"/>
  <c r="K273" i="68"/>
  <c r="J273" i="68"/>
  <c r="I273" i="68"/>
  <c r="H273" i="68"/>
  <c r="G273" i="68"/>
  <c r="F273" i="68"/>
  <c r="E273" i="68"/>
  <c r="D273" i="68"/>
  <c r="C273" i="68"/>
  <c r="B273" i="68"/>
  <c r="A273" i="68"/>
  <c r="AF272" i="68"/>
  <c r="AE272" i="68"/>
  <c r="AD272" i="68"/>
  <c r="AC272" i="68"/>
  <c r="AB272" i="68"/>
  <c r="AA272" i="68"/>
  <c r="Z272" i="68"/>
  <c r="Y272" i="68"/>
  <c r="X272" i="68"/>
  <c r="W272" i="68"/>
  <c r="V272" i="68"/>
  <c r="U272" i="68"/>
  <c r="T272" i="68"/>
  <c r="S272" i="68"/>
  <c r="R272" i="68"/>
  <c r="Q272" i="68"/>
  <c r="P272" i="68"/>
  <c r="O272" i="68"/>
  <c r="N272" i="68"/>
  <c r="M272" i="68"/>
  <c r="L272" i="68"/>
  <c r="K272" i="68"/>
  <c r="J272" i="68"/>
  <c r="I272" i="68"/>
  <c r="H272" i="68"/>
  <c r="G272" i="68"/>
  <c r="F272" i="68"/>
  <c r="E272" i="68"/>
  <c r="D272" i="68"/>
  <c r="C272" i="68"/>
  <c r="B272" i="68"/>
  <c r="A272" i="68"/>
  <c r="AF271" i="68"/>
  <c r="AE271" i="68"/>
  <c r="AD271" i="68"/>
  <c r="AC271" i="68"/>
  <c r="AB271" i="68"/>
  <c r="AA271" i="68"/>
  <c r="Z271" i="68"/>
  <c r="Y271" i="68"/>
  <c r="X271" i="68"/>
  <c r="W271" i="68"/>
  <c r="V271" i="68"/>
  <c r="U271" i="68"/>
  <c r="T271" i="68"/>
  <c r="S271" i="68"/>
  <c r="R271" i="68"/>
  <c r="Q271" i="68"/>
  <c r="P271" i="68"/>
  <c r="O271" i="68"/>
  <c r="N271" i="68"/>
  <c r="M271" i="68"/>
  <c r="L271" i="68"/>
  <c r="K271" i="68"/>
  <c r="J271" i="68"/>
  <c r="I271" i="68"/>
  <c r="H271" i="68"/>
  <c r="G271" i="68"/>
  <c r="F271" i="68"/>
  <c r="E271" i="68"/>
  <c r="D271" i="68"/>
  <c r="C271" i="68"/>
  <c r="B271" i="68"/>
  <c r="A271" i="68"/>
  <c r="AF270" i="68"/>
  <c r="AE270" i="68"/>
  <c r="AD270" i="68"/>
  <c r="AC270" i="68"/>
  <c r="AB270" i="68"/>
  <c r="AA270" i="68"/>
  <c r="Z270" i="68"/>
  <c r="Y270" i="68"/>
  <c r="X270" i="68"/>
  <c r="W270" i="68"/>
  <c r="V270" i="68"/>
  <c r="U270" i="68"/>
  <c r="T270" i="68"/>
  <c r="S270" i="68"/>
  <c r="R270" i="68"/>
  <c r="Q270" i="68"/>
  <c r="P270" i="68"/>
  <c r="O270" i="68"/>
  <c r="N270" i="68"/>
  <c r="M270" i="68"/>
  <c r="L270" i="68"/>
  <c r="K270" i="68"/>
  <c r="J270" i="68"/>
  <c r="I270" i="68"/>
  <c r="H270" i="68"/>
  <c r="G270" i="68"/>
  <c r="F270" i="68"/>
  <c r="E270" i="68"/>
  <c r="D270" i="68"/>
  <c r="C270" i="68"/>
  <c r="B270" i="68"/>
  <c r="AX249" i="68"/>
  <c r="AW249" i="68"/>
  <c r="AV249" i="68"/>
  <c r="AU249" i="68"/>
  <c r="AT249" i="68"/>
  <c r="AS249" i="68"/>
  <c r="AR249" i="68"/>
  <c r="AQ249" i="68"/>
  <c r="AP249" i="68"/>
  <c r="AO249" i="68"/>
  <c r="AN249" i="68"/>
  <c r="AM249" i="68"/>
  <c r="AL249" i="68"/>
  <c r="AK249" i="68"/>
  <c r="AJ249" i="68"/>
  <c r="AI249" i="68"/>
  <c r="AH249" i="68"/>
  <c r="AG249" i="68"/>
  <c r="AF249" i="68"/>
  <c r="AE249" i="68"/>
  <c r="AD249" i="68"/>
  <c r="AC249" i="68"/>
  <c r="AB249" i="68"/>
  <c r="AA249" i="68"/>
  <c r="Z249" i="68"/>
  <c r="Y249" i="68"/>
  <c r="X249" i="68"/>
  <c r="W249" i="68"/>
  <c r="V249" i="68"/>
  <c r="U249" i="68"/>
  <c r="T249" i="68"/>
  <c r="S245" i="68"/>
  <c r="C244" i="68"/>
  <c r="B244" i="68"/>
  <c r="AG235" i="68"/>
  <c r="AF235" i="68"/>
  <c r="AE235" i="68"/>
  <c r="AD235" i="68"/>
  <c r="AC235" i="68"/>
  <c r="AB235" i="68"/>
  <c r="AA235" i="68"/>
  <c r="Z235" i="68"/>
  <c r="Y235" i="68"/>
  <c r="X235" i="68"/>
  <c r="W235" i="68"/>
  <c r="V235" i="68"/>
  <c r="U235" i="68"/>
  <c r="T235" i="68"/>
  <c r="S235" i="68"/>
  <c r="R235" i="68"/>
  <c r="Q235" i="68"/>
  <c r="H235" i="68"/>
  <c r="G235" i="68"/>
  <c r="F235" i="68"/>
  <c r="E235" i="68"/>
  <c r="D235" i="68"/>
  <c r="C235" i="68"/>
  <c r="B235" i="68"/>
  <c r="P234" i="68"/>
  <c r="O234" i="68"/>
  <c r="N234" i="68"/>
  <c r="M234" i="68"/>
  <c r="L234" i="68"/>
  <c r="K234" i="68"/>
  <c r="J234" i="68"/>
  <c r="I234" i="68"/>
  <c r="H234" i="68"/>
  <c r="G234" i="68"/>
  <c r="F234" i="68"/>
  <c r="E234" i="68"/>
  <c r="D234" i="68"/>
  <c r="B234" i="68"/>
  <c r="P233" i="68"/>
  <c r="O233" i="68"/>
  <c r="N233" i="68"/>
  <c r="M233" i="68"/>
  <c r="L233" i="68"/>
  <c r="K233" i="68"/>
  <c r="J233" i="68"/>
  <c r="I233" i="68"/>
  <c r="H233" i="68"/>
  <c r="G233" i="68"/>
  <c r="F233" i="68"/>
  <c r="E233" i="68"/>
  <c r="D233" i="68"/>
  <c r="B233" i="68"/>
  <c r="P232" i="68"/>
  <c r="O232" i="68"/>
  <c r="N232" i="68"/>
  <c r="M232" i="68"/>
  <c r="L232" i="68"/>
  <c r="K232" i="68"/>
  <c r="J232" i="68"/>
  <c r="I232" i="68"/>
  <c r="H232" i="68"/>
  <c r="G232" i="68"/>
  <c r="F232" i="68"/>
  <c r="E232" i="68"/>
  <c r="D232" i="68"/>
  <c r="B232" i="68"/>
  <c r="H231" i="68"/>
  <c r="G231" i="68"/>
  <c r="F231" i="68"/>
  <c r="E231" i="68"/>
  <c r="D231" i="68"/>
  <c r="B231" i="68"/>
  <c r="P230" i="68"/>
  <c r="O230" i="68"/>
  <c r="N230" i="68"/>
  <c r="M230" i="68"/>
  <c r="L230" i="68"/>
  <c r="K230" i="68"/>
  <c r="J230" i="68"/>
  <c r="I230" i="68"/>
  <c r="H230" i="68"/>
  <c r="G230" i="68"/>
  <c r="F230" i="68"/>
  <c r="E230" i="68"/>
  <c r="D230" i="68"/>
  <c r="B230" i="68"/>
  <c r="P229" i="68"/>
  <c r="O229" i="68"/>
  <c r="N229" i="68"/>
  <c r="M229" i="68"/>
  <c r="L229" i="68"/>
  <c r="K229" i="68"/>
  <c r="J229" i="68"/>
  <c r="I229" i="68"/>
  <c r="H229" i="68"/>
  <c r="G229" i="68"/>
  <c r="F229" i="68"/>
  <c r="E229" i="68"/>
  <c r="D229" i="68"/>
  <c r="B229" i="68"/>
  <c r="AG227" i="68"/>
  <c r="AF227" i="68"/>
  <c r="AE227" i="68"/>
  <c r="AD227" i="68"/>
  <c r="AC227" i="68"/>
  <c r="AB227" i="68"/>
  <c r="AA227" i="68"/>
  <c r="Z227" i="68"/>
  <c r="Y227" i="68"/>
  <c r="X227" i="68"/>
  <c r="W227" i="68"/>
  <c r="V227" i="68"/>
  <c r="U227" i="68"/>
  <c r="T227" i="68"/>
  <c r="S227" i="68"/>
  <c r="R227" i="68"/>
  <c r="Q227" i="68"/>
  <c r="P227" i="68"/>
  <c r="O227" i="68"/>
  <c r="N227" i="68"/>
  <c r="M227" i="68"/>
  <c r="L227" i="68"/>
  <c r="K227" i="68"/>
  <c r="J227" i="68"/>
  <c r="I227" i="68"/>
  <c r="H227" i="68"/>
  <c r="G227" i="68"/>
  <c r="F227" i="68"/>
  <c r="E227" i="68"/>
  <c r="D227" i="68"/>
  <c r="C227" i="68"/>
  <c r="B227" i="68"/>
  <c r="AI120" i="68"/>
  <c r="AH120" i="68"/>
  <c r="AI119" i="68"/>
  <c r="AH119" i="68"/>
  <c r="AI118" i="68"/>
  <c r="AH118" i="68"/>
  <c r="AI117" i="68"/>
  <c r="AH117" i="68"/>
  <c r="AI116" i="68"/>
  <c r="AH116" i="68"/>
  <c r="AI115" i="68"/>
  <c r="AH115" i="68"/>
  <c r="AI114" i="68"/>
  <c r="AH114" i="68"/>
  <c r="AI113" i="68"/>
  <c r="AH113" i="68"/>
  <c r="AA113" i="68"/>
  <c r="M113" i="68"/>
  <c r="L113" i="68"/>
  <c r="K113" i="68"/>
  <c r="J113" i="68"/>
  <c r="I113" i="68"/>
  <c r="H113" i="68"/>
  <c r="G113" i="68"/>
  <c r="F113" i="68"/>
  <c r="E113" i="68"/>
  <c r="AI112" i="68"/>
  <c r="AH112" i="68"/>
  <c r="AI111" i="68"/>
  <c r="AH111" i="68"/>
  <c r="AI110" i="68"/>
  <c r="AH110" i="68"/>
  <c r="AF110" i="68"/>
  <c r="AE110" i="68"/>
  <c r="AC110" i="68"/>
  <c r="AB110" i="68"/>
  <c r="AA110" i="68"/>
  <c r="Z110" i="68"/>
  <c r="Y110" i="68"/>
  <c r="X110" i="68"/>
  <c r="W110" i="68"/>
  <c r="V110" i="68"/>
  <c r="U110" i="68"/>
  <c r="T110" i="68"/>
  <c r="S110" i="68"/>
  <c r="R110" i="68"/>
  <c r="Q110" i="68"/>
  <c r="O110" i="68"/>
  <c r="N110" i="68"/>
  <c r="M110" i="68"/>
  <c r="L110" i="68"/>
  <c r="K110" i="68"/>
  <c r="J110" i="68"/>
  <c r="I110" i="68"/>
  <c r="H110" i="68"/>
  <c r="G110" i="68"/>
  <c r="F110" i="68"/>
  <c r="E110" i="68"/>
  <c r="D110" i="68"/>
  <c r="C110" i="68"/>
  <c r="B110" i="68"/>
  <c r="AI109" i="68"/>
  <c r="AH109" i="68"/>
  <c r="AI108" i="68"/>
  <c r="AH108" i="68"/>
  <c r="AI107" i="68"/>
  <c r="AH107" i="68"/>
  <c r="AI106" i="68"/>
  <c r="AH106" i="68"/>
  <c r="AI105" i="68"/>
  <c r="AH105" i="68"/>
  <c r="AI104" i="68"/>
  <c r="AH104" i="68"/>
  <c r="AI103" i="68"/>
  <c r="AH103" i="68"/>
  <c r="AI102" i="68"/>
  <c r="AH102" i="68"/>
  <c r="AI101" i="68"/>
  <c r="AH101" i="68"/>
  <c r="AI100" i="68"/>
  <c r="AH100" i="68"/>
  <c r="AF100" i="68"/>
  <c r="AE100" i="68"/>
  <c r="AD100" i="68"/>
  <c r="AC100" i="68"/>
  <c r="AB100" i="68"/>
  <c r="AA100" i="68"/>
  <c r="Z100" i="68"/>
  <c r="Y100" i="68"/>
  <c r="X100" i="68"/>
  <c r="W100" i="68"/>
  <c r="V100" i="68"/>
  <c r="U100" i="68"/>
  <c r="T100" i="68"/>
  <c r="S100" i="68"/>
  <c r="R100" i="68"/>
  <c r="Q100" i="68"/>
  <c r="P100" i="68"/>
  <c r="O100" i="68"/>
  <c r="N100" i="68"/>
  <c r="M100" i="68"/>
  <c r="L100" i="68"/>
  <c r="K100" i="68"/>
  <c r="J100" i="68"/>
  <c r="I100" i="68"/>
  <c r="H100" i="68"/>
  <c r="G100" i="68"/>
  <c r="F100" i="68"/>
  <c r="E100" i="68"/>
  <c r="D100" i="68"/>
  <c r="C100" i="68"/>
  <c r="B100" i="68"/>
  <c r="AI99" i="68"/>
  <c r="AH99" i="68"/>
  <c r="AF99" i="68"/>
  <c r="AE99" i="68"/>
  <c r="AD99" i="68"/>
  <c r="AC99" i="68"/>
  <c r="AB99" i="68"/>
  <c r="AA99" i="68"/>
  <c r="Z99" i="68"/>
  <c r="Y99" i="68"/>
  <c r="X99" i="68"/>
  <c r="W99" i="68"/>
  <c r="V99" i="68"/>
  <c r="U99" i="68"/>
  <c r="T99" i="68"/>
  <c r="S99" i="68"/>
  <c r="R99" i="68"/>
  <c r="Q99" i="68"/>
  <c r="P99" i="68"/>
  <c r="O99" i="68"/>
  <c r="N99" i="68"/>
  <c r="M99" i="68"/>
  <c r="L99" i="68"/>
  <c r="K99" i="68"/>
  <c r="J99" i="68"/>
  <c r="I99" i="68"/>
  <c r="H99" i="68"/>
  <c r="G99" i="68"/>
  <c r="F99" i="68"/>
  <c r="E99" i="68"/>
  <c r="D99" i="68"/>
  <c r="C99" i="68"/>
  <c r="B99" i="68"/>
  <c r="AI98" i="68"/>
  <c r="AH98" i="68"/>
  <c r="AI97" i="68"/>
  <c r="AH97" i="68"/>
  <c r="AI96" i="68"/>
  <c r="AH96" i="68"/>
  <c r="AI95" i="68"/>
  <c r="AH95" i="68"/>
  <c r="AI94" i="68"/>
  <c r="AH94" i="68"/>
  <c r="AI93" i="68"/>
  <c r="AH93" i="68"/>
  <c r="AI92" i="68"/>
  <c r="AH92" i="68"/>
  <c r="AF92" i="68"/>
  <c r="AE92" i="68"/>
  <c r="AD92" i="68"/>
  <c r="AC92" i="68"/>
  <c r="AB92" i="68"/>
  <c r="AA92" i="68"/>
  <c r="Z92" i="68"/>
  <c r="Y92" i="68"/>
  <c r="X92" i="68"/>
  <c r="W92" i="68"/>
  <c r="V92" i="68"/>
  <c r="U92" i="68"/>
  <c r="T92" i="68"/>
  <c r="S92" i="68"/>
  <c r="R92" i="68"/>
  <c r="Q92" i="68"/>
  <c r="P92" i="68"/>
  <c r="O92" i="68"/>
  <c r="N92" i="68"/>
  <c r="M92" i="68"/>
  <c r="L92" i="68"/>
  <c r="K92" i="68"/>
  <c r="J92" i="68"/>
  <c r="I92" i="68"/>
  <c r="H92" i="68"/>
  <c r="G92" i="68"/>
  <c r="F92" i="68"/>
  <c r="E92" i="68"/>
  <c r="D92" i="68"/>
  <c r="C92" i="68"/>
  <c r="B92" i="68"/>
  <c r="AI91" i="68"/>
  <c r="AH91" i="68"/>
  <c r="AG91" i="68"/>
  <c r="AF91" i="68"/>
  <c r="AE91" i="68"/>
  <c r="AD91" i="68"/>
  <c r="AC91" i="68"/>
  <c r="AB91" i="68"/>
  <c r="AA91" i="68"/>
  <c r="Z91" i="68"/>
  <c r="Y91" i="68"/>
  <c r="X91" i="68"/>
  <c r="W91" i="68"/>
  <c r="V91" i="68"/>
  <c r="U91" i="68"/>
  <c r="T91" i="68"/>
  <c r="S91" i="68"/>
  <c r="R91" i="68"/>
  <c r="Q91" i="68"/>
  <c r="P91" i="68"/>
  <c r="O91" i="68"/>
  <c r="N91" i="68"/>
  <c r="M91" i="68"/>
  <c r="L91" i="68"/>
  <c r="K91" i="68"/>
  <c r="J91" i="68"/>
  <c r="I91" i="68"/>
  <c r="H91" i="68"/>
  <c r="G91" i="68"/>
  <c r="F91" i="68"/>
  <c r="E91" i="68"/>
  <c r="D91" i="68"/>
  <c r="C91" i="68"/>
  <c r="B91" i="68"/>
  <c r="AI90" i="68"/>
  <c r="AH90" i="68"/>
  <c r="AI89" i="68"/>
  <c r="AH89" i="68"/>
  <c r="AG89" i="68"/>
  <c r="AF89" i="68"/>
  <c r="AE89" i="68"/>
  <c r="AD89" i="68"/>
  <c r="AC89" i="68"/>
  <c r="AB89" i="68"/>
  <c r="AA89" i="68"/>
  <c r="Z89" i="68"/>
  <c r="Y89" i="68"/>
  <c r="X89" i="68"/>
  <c r="W89" i="68"/>
  <c r="V89" i="68"/>
  <c r="U89" i="68"/>
  <c r="T89" i="68"/>
  <c r="S89" i="68"/>
  <c r="R89" i="68"/>
  <c r="Q89" i="68"/>
  <c r="P89" i="68"/>
  <c r="O89" i="68"/>
  <c r="N89" i="68"/>
  <c r="M89" i="68"/>
  <c r="L89" i="68"/>
  <c r="K89" i="68"/>
  <c r="J89" i="68"/>
  <c r="I89" i="68"/>
  <c r="H89" i="68"/>
  <c r="G89" i="68"/>
  <c r="F89" i="68"/>
  <c r="E89" i="68"/>
  <c r="D89" i="68"/>
  <c r="C89" i="68"/>
  <c r="B89" i="68"/>
  <c r="AI88" i="68"/>
  <c r="AH88" i="68"/>
  <c r="AG88" i="68"/>
  <c r="AI87" i="68"/>
  <c r="AH87" i="68"/>
  <c r="AI86" i="68"/>
  <c r="AH86" i="68"/>
  <c r="AI85" i="68"/>
  <c r="AH85" i="68"/>
  <c r="AI84" i="68"/>
  <c r="AH84" i="68"/>
  <c r="AG84" i="68"/>
  <c r="AF84" i="68"/>
  <c r="AE84" i="68"/>
  <c r="AD84" i="68"/>
  <c r="AC84" i="68"/>
  <c r="AB84" i="68"/>
  <c r="AA84" i="68"/>
  <c r="Z84" i="68"/>
  <c r="Y84" i="68"/>
  <c r="X84" i="68"/>
  <c r="W84" i="68"/>
  <c r="V84" i="68"/>
  <c r="U84" i="68"/>
  <c r="T84" i="68"/>
  <c r="S84" i="68"/>
  <c r="R84" i="68"/>
  <c r="Q84" i="68"/>
  <c r="P84" i="68"/>
  <c r="O84" i="68"/>
  <c r="N84" i="68"/>
  <c r="M84" i="68"/>
  <c r="L84" i="68"/>
  <c r="K84" i="68"/>
  <c r="J84" i="68"/>
  <c r="I84" i="68"/>
  <c r="H84" i="68"/>
  <c r="G84" i="68"/>
  <c r="F84" i="68"/>
  <c r="E84" i="68"/>
  <c r="D84" i="68"/>
  <c r="C84" i="68"/>
  <c r="B84" i="68"/>
  <c r="AI83" i="68"/>
  <c r="AH83" i="68"/>
  <c r="AI82" i="68"/>
  <c r="AH82" i="68"/>
  <c r="AI81" i="68"/>
  <c r="AH81" i="68"/>
  <c r="AI80" i="68"/>
  <c r="AH80" i="68"/>
  <c r="AI79" i="68"/>
  <c r="AH79" i="68"/>
  <c r="AI78" i="68"/>
  <c r="AH78" i="68"/>
  <c r="AI77" i="68"/>
  <c r="AH77" i="68"/>
  <c r="AI76" i="68"/>
  <c r="AH76" i="68"/>
  <c r="AI75" i="68"/>
  <c r="AH75" i="68"/>
  <c r="AI74" i="68"/>
  <c r="AH74" i="68"/>
  <c r="AI73" i="68"/>
  <c r="AH73" i="68"/>
  <c r="AI72" i="68"/>
  <c r="AH72" i="68"/>
  <c r="AG72" i="68"/>
  <c r="AF72" i="68"/>
  <c r="AE72" i="68"/>
  <c r="AD72" i="68"/>
  <c r="AC72" i="68"/>
  <c r="AB72" i="68"/>
  <c r="AA72" i="68"/>
  <c r="Z72" i="68"/>
  <c r="Y72" i="68"/>
  <c r="X72" i="68"/>
  <c r="W72" i="68"/>
  <c r="V72" i="68"/>
  <c r="U72" i="68"/>
  <c r="T72" i="68"/>
  <c r="S72" i="68"/>
  <c r="R72" i="68"/>
  <c r="Q72" i="68"/>
  <c r="P72" i="68"/>
  <c r="O72" i="68"/>
  <c r="N72" i="68"/>
  <c r="M72" i="68"/>
  <c r="L72" i="68"/>
  <c r="B72" i="68"/>
  <c r="AI71" i="68"/>
  <c r="AH71" i="68"/>
  <c r="AI70" i="68"/>
  <c r="AH70" i="68"/>
  <c r="AI69" i="68"/>
  <c r="AH69" i="68"/>
  <c r="AI68" i="68"/>
  <c r="AH68" i="68"/>
  <c r="AG68" i="68"/>
  <c r="AF68" i="68"/>
  <c r="AE68" i="68"/>
  <c r="AD68" i="68"/>
  <c r="AC68" i="68"/>
  <c r="AB68" i="68"/>
  <c r="AA68" i="68"/>
  <c r="Z68" i="68"/>
  <c r="Y68" i="68"/>
  <c r="X68" i="68"/>
  <c r="W68" i="68"/>
  <c r="V68" i="68"/>
  <c r="U68" i="68"/>
  <c r="T68" i="68"/>
  <c r="S68" i="68"/>
  <c r="R68" i="68"/>
  <c r="Q68" i="68"/>
  <c r="P68" i="68"/>
  <c r="O68" i="68"/>
  <c r="N68" i="68"/>
  <c r="M68" i="68"/>
  <c r="L68" i="68"/>
  <c r="K68" i="68"/>
  <c r="J68" i="68"/>
  <c r="I68" i="68"/>
  <c r="H68" i="68"/>
  <c r="G68" i="68"/>
  <c r="F68" i="68"/>
  <c r="E68" i="68"/>
  <c r="D68" i="68"/>
  <c r="C68" i="68"/>
  <c r="B68" i="68"/>
  <c r="AI67" i="68"/>
  <c r="AH67" i="68"/>
  <c r="AG67" i="68"/>
  <c r="AI66" i="68"/>
  <c r="AH66" i="68"/>
  <c r="AI65" i="68"/>
  <c r="AH65" i="68"/>
  <c r="AI64" i="68"/>
  <c r="AH64" i="68"/>
  <c r="AI63" i="68"/>
  <c r="AH63" i="68"/>
  <c r="AI62" i="68"/>
  <c r="AH62" i="68"/>
  <c r="AI61" i="68"/>
  <c r="AH61" i="68"/>
  <c r="AI60" i="68"/>
  <c r="AH60" i="68"/>
  <c r="AI59" i="68"/>
  <c r="AH59" i="68"/>
  <c r="AI58" i="68"/>
  <c r="AH58" i="68"/>
  <c r="AI57" i="68"/>
  <c r="AH57" i="68"/>
  <c r="AI56" i="68"/>
  <c r="AH56" i="68"/>
  <c r="AI55" i="68"/>
  <c r="AH55" i="68"/>
  <c r="AI54" i="68"/>
  <c r="AH54" i="68"/>
  <c r="AG54" i="68"/>
  <c r="AF54" i="68"/>
  <c r="AE54" i="68"/>
  <c r="AD54" i="68"/>
  <c r="AC54" i="68"/>
  <c r="AB54" i="68"/>
  <c r="AA54" i="68"/>
  <c r="Z54" i="68"/>
  <c r="Y54" i="68"/>
  <c r="X54" i="68"/>
  <c r="W54" i="68"/>
  <c r="V54" i="68"/>
  <c r="U54" i="68"/>
  <c r="T54" i="68"/>
  <c r="S54" i="68"/>
  <c r="R54" i="68"/>
  <c r="Q54" i="68"/>
  <c r="P54" i="68"/>
  <c r="O54" i="68"/>
  <c r="N54" i="68"/>
  <c r="M54" i="68"/>
  <c r="L54" i="68"/>
  <c r="K54" i="68"/>
  <c r="J54" i="68"/>
  <c r="I54" i="68"/>
  <c r="H54" i="68"/>
  <c r="G54" i="68"/>
  <c r="F54" i="68"/>
  <c r="E54" i="68"/>
  <c r="D54" i="68"/>
  <c r="C54" i="68"/>
  <c r="B54" i="68"/>
  <c r="AI53" i="68"/>
  <c r="AH53" i="68"/>
  <c r="AI52" i="68"/>
  <c r="AH52" i="68"/>
  <c r="AI51" i="68"/>
  <c r="AH51" i="68"/>
  <c r="AI50" i="68"/>
  <c r="AH50" i="68"/>
  <c r="AG50" i="68"/>
  <c r="AF50" i="68"/>
  <c r="AE50" i="68"/>
  <c r="AD50" i="68"/>
  <c r="AC50" i="68"/>
  <c r="AB50" i="68"/>
  <c r="AA50" i="68"/>
  <c r="Z50" i="68"/>
  <c r="Y50" i="68"/>
  <c r="X50" i="68"/>
  <c r="W50" i="68"/>
  <c r="V50" i="68"/>
  <c r="U50" i="68"/>
  <c r="T50" i="68"/>
  <c r="S50" i="68"/>
  <c r="R50" i="68"/>
  <c r="Q50" i="68"/>
  <c r="P50" i="68"/>
  <c r="O50" i="68"/>
  <c r="N50" i="68"/>
  <c r="M50" i="68"/>
  <c r="L50" i="68"/>
  <c r="K50" i="68"/>
  <c r="J50" i="68"/>
  <c r="I50" i="68"/>
  <c r="H50" i="68"/>
  <c r="G50" i="68"/>
  <c r="F50" i="68"/>
  <c r="E50" i="68"/>
  <c r="D50" i="68"/>
  <c r="C50" i="68"/>
  <c r="B50" i="68"/>
  <c r="AI49" i="68"/>
  <c r="AH49" i="68"/>
  <c r="AA49" i="68"/>
  <c r="Z49" i="68"/>
  <c r="Y49" i="68"/>
  <c r="X49" i="68"/>
  <c r="W49" i="68"/>
  <c r="V49" i="68"/>
  <c r="U49" i="68"/>
  <c r="T49" i="68"/>
  <c r="S49" i="68"/>
  <c r="R49" i="68"/>
  <c r="Q49" i="68"/>
  <c r="P49" i="68"/>
  <c r="O49" i="68"/>
  <c r="N49" i="68"/>
  <c r="M49" i="68"/>
  <c r="L49" i="68"/>
  <c r="K49" i="68"/>
  <c r="J49" i="68"/>
  <c r="I49" i="68"/>
  <c r="H49" i="68"/>
  <c r="G49" i="68"/>
  <c r="AI48" i="68"/>
  <c r="AH48" i="68"/>
  <c r="AI47" i="68"/>
  <c r="AH47" i="68"/>
  <c r="AI46" i="68"/>
  <c r="AH46" i="68"/>
  <c r="AI45" i="68"/>
  <c r="AH45" i="68"/>
  <c r="AI44" i="68"/>
  <c r="AH44" i="68"/>
  <c r="AI43" i="68"/>
  <c r="AH43" i="68"/>
  <c r="AI42" i="68"/>
  <c r="AH42" i="68"/>
  <c r="AI41" i="68"/>
  <c r="AH41" i="68"/>
  <c r="AI40" i="68"/>
  <c r="AH40" i="68"/>
  <c r="AI39" i="68"/>
  <c r="AH39" i="68"/>
  <c r="AI38" i="68"/>
  <c r="AH38" i="68"/>
  <c r="AI37" i="68"/>
  <c r="AH37" i="68"/>
  <c r="AI36" i="68"/>
  <c r="AH36" i="68"/>
  <c r="AI35" i="68"/>
  <c r="AH35" i="68"/>
  <c r="AI34" i="68"/>
  <c r="AH34" i="68"/>
  <c r="AI33" i="68"/>
  <c r="AH33" i="68"/>
  <c r="AI32" i="68"/>
  <c r="AH32" i="68"/>
  <c r="AI31" i="68"/>
  <c r="AH31" i="68"/>
  <c r="AI30" i="68"/>
  <c r="AH30" i="68"/>
  <c r="AI29" i="68"/>
  <c r="AH29" i="68"/>
  <c r="AI28" i="68"/>
  <c r="AH28" i="68"/>
  <c r="AI27" i="68"/>
  <c r="AH27" i="68"/>
  <c r="AI26" i="68"/>
  <c r="AH26" i="68"/>
  <c r="AI25" i="68"/>
  <c r="AH25" i="68"/>
  <c r="AI24" i="68"/>
  <c r="AH24" i="68"/>
  <c r="AI23" i="68"/>
  <c r="AH23" i="68"/>
  <c r="AI22" i="68"/>
  <c r="AH22" i="68"/>
  <c r="AI21" i="68"/>
  <c r="AH21" i="68"/>
  <c r="AI20" i="68"/>
  <c r="AH20" i="68"/>
  <c r="AI19" i="68"/>
  <c r="AH19" i="68"/>
  <c r="AI18" i="68"/>
  <c r="AH18" i="68"/>
  <c r="AI17" i="68"/>
  <c r="AH17" i="68"/>
  <c r="AI16" i="68"/>
  <c r="AH16" i="68"/>
  <c r="AI15" i="68"/>
  <c r="AH15" i="68"/>
  <c r="AI14" i="68"/>
  <c r="AH14" i="68"/>
  <c r="AI13" i="68"/>
  <c r="AH13" i="68"/>
  <c r="AI12" i="68"/>
  <c r="AH12" i="68"/>
  <c r="AI11" i="68"/>
  <c r="AH11" i="68"/>
  <c r="AF7" i="68"/>
  <c r="AE7" i="68"/>
  <c r="AD7" i="68"/>
  <c r="AC7" i="68"/>
  <c r="AB7" i="68"/>
  <c r="AA7" i="68"/>
  <c r="Z7" i="68"/>
  <c r="Y7" i="68"/>
  <c r="X7" i="68"/>
  <c r="W7" i="68"/>
  <c r="V7" i="68"/>
  <c r="U7" i="68"/>
  <c r="T7" i="68"/>
  <c r="S7" i="68"/>
  <c r="R7" i="68"/>
  <c r="Q7" i="68"/>
  <c r="P7" i="68"/>
  <c r="O7" i="68"/>
  <c r="N7" i="68"/>
  <c r="M7" i="68"/>
  <c r="L7" i="68"/>
  <c r="K7" i="68"/>
  <c r="J7" i="68"/>
  <c r="I7" i="68"/>
  <c r="H7" i="68"/>
  <c r="G7" i="68"/>
  <c r="F7" i="68"/>
  <c r="E7" i="68"/>
  <c r="D7" i="68"/>
  <c r="C7" i="68"/>
  <c r="B7" i="68"/>
  <c r="A7" i="68"/>
  <c r="AG6" i="68"/>
  <c r="K6" i="68"/>
  <c r="AF5" i="68"/>
  <c r="AE5" i="68"/>
  <c r="AD5" i="68"/>
  <c r="AC5" i="68"/>
  <c r="AB5" i="68"/>
  <c r="AA5" i="68"/>
  <c r="Z5" i="68"/>
  <c r="Y5" i="68"/>
  <c r="X5" i="68"/>
  <c r="W5" i="68"/>
  <c r="V5" i="68"/>
  <c r="U5" i="68"/>
  <c r="T5" i="68"/>
  <c r="S5" i="68"/>
  <c r="R5" i="68"/>
  <c r="Q5" i="68"/>
  <c r="P5" i="68"/>
  <c r="O5" i="68"/>
  <c r="N5" i="68"/>
  <c r="M5" i="68"/>
  <c r="L5" i="68"/>
  <c r="K5" i="68"/>
  <c r="J5" i="68"/>
  <c r="I5" i="68"/>
  <c r="H5" i="68"/>
  <c r="G5" i="68"/>
  <c r="F5" i="68"/>
  <c r="E5" i="68"/>
  <c r="D5" i="68"/>
  <c r="C5" i="68"/>
  <c r="B5" i="68"/>
  <c r="AG4" i="68"/>
  <c r="K4" i="68"/>
  <c r="E4" i="68"/>
  <c r="H4" i="68" s="1"/>
  <c r="B4" i="68"/>
  <c r="S246" i="68" s="1"/>
  <c r="AG3" i="68"/>
  <c r="AG2" i="68"/>
  <c r="AF274" i="67"/>
  <c r="AE274" i="67"/>
  <c r="AD274" i="67"/>
  <c r="AC274" i="67"/>
  <c r="AB274" i="67"/>
  <c r="AA274" i="67"/>
  <c r="Z274" i="67"/>
  <c r="Y274" i="67"/>
  <c r="X274" i="67"/>
  <c r="W274" i="67"/>
  <c r="V274" i="67"/>
  <c r="U274" i="67"/>
  <c r="T274" i="67"/>
  <c r="S274" i="67"/>
  <c r="R274" i="67"/>
  <c r="Q274" i="67"/>
  <c r="P274" i="67"/>
  <c r="O274" i="67"/>
  <c r="N274" i="67"/>
  <c r="M274" i="67"/>
  <c r="L274" i="67"/>
  <c r="K274" i="67"/>
  <c r="J274" i="67"/>
  <c r="I274" i="67"/>
  <c r="H274" i="67"/>
  <c r="G274" i="67"/>
  <c r="F274" i="67"/>
  <c r="E274" i="67"/>
  <c r="D274" i="67"/>
  <c r="C274" i="67"/>
  <c r="B274" i="67"/>
  <c r="A274" i="67"/>
  <c r="AF273" i="67"/>
  <c r="AE273" i="67"/>
  <c r="AD273" i="67"/>
  <c r="AC273" i="67"/>
  <c r="AB273" i="67"/>
  <c r="AA273" i="67"/>
  <c r="Z273" i="67"/>
  <c r="Y273" i="67"/>
  <c r="X273" i="67"/>
  <c r="W273" i="67"/>
  <c r="V273" i="67"/>
  <c r="U273" i="67"/>
  <c r="T273" i="67"/>
  <c r="S273" i="67"/>
  <c r="R273" i="67"/>
  <c r="Q273" i="67"/>
  <c r="P273" i="67"/>
  <c r="O273" i="67"/>
  <c r="N273" i="67"/>
  <c r="M273" i="67"/>
  <c r="L273" i="67"/>
  <c r="K273" i="67"/>
  <c r="J273" i="67"/>
  <c r="I273" i="67"/>
  <c r="H273" i="67"/>
  <c r="G273" i="67"/>
  <c r="F273" i="67"/>
  <c r="E273" i="67"/>
  <c r="D273" i="67"/>
  <c r="C273" i="67"/>
  <c r="B273" i="67"/>
  <c r="A273" i="67"/>
  <c r="AF272" i="67"/>
  <c r="AE272" i="67"/>
  <c r="AD272" i="67"/>
  <c r="AC272" i="67"/>
  <c r="AB272" i="67"/>
  <c r="AA272" i="67"/>
  <c r="Z272" i="67"/>
  <c r="Y272" i="67"/>
  <c r="X272" i="67"/>
  <c r="W272" i="67"/>
  <c r="V272" i="67"/>
  <c r="U272" i="67"/>
  <c r="T272" i="67"/>
  <c r="S272" i="67"/>
  <c r="R272" i="67"/>
  <c r="Q272" i="67"/>
  <c r="P272" i="67"/>
  <c r="O272" i="67"/>
  <c r="N272" i="67"/>
  <c r="M272" i="67"/>
  <c r="L272" i="67"/>
  <c r="K272" i="67"/>
  <c r="J272" i="67"/>
  <c r="I272" i="67"/>
  <c r="H272" i="67"/>
  <c r="G272" i="67"/>
  <c r="F272" i="67"/>
  <c r="E272" i="67"/>
  <c r="D272" i="67"/>
  <c r="C272" i="67"/>
  <c r="B272" i="67"/>
  <c r="A272" i="67"/>
  <c r="AF271" i="67"/>
  <c r="AE271" i="67"/>
  <c r="AD271" i="67"/>
  <c r="AC271" i="67"/>
  <c r="AB271" i="67"/>
  <c r="AA271" i="67"/>
  <c r="Z271" i="67"/>
  <c r="Y271" i="67"/>
  <c r="X271" i="67"/>
  <c r="W271" i="67"/>
  <c r="V271" i="67"/>
  <c r="U271" i="67"/>
  <c r="T271" i="67"/>
  <c r="S271" i="67"/>
  <c r="R271" i="67"/>
  <c r="Q271" i="67"/>
  <c r="P271" i="67"/>
  <c r="O271" i="67"/>
  <c r="N271" i="67"/>
  <c r="M271" i="67"/>
  <c r="L271" i="67"/>
  <c r="K271" i="67"/>
  <c r="J271" i="67"/>
  <c r="I271" i="67"/>
  <c r="H271" i="67"/>
  <c r="G271" i="67"/>
  <c r="F271" i="67"/>
  <c r="E271" i="67"/>
  <c r="D271" i="67"/>
  <c r="C271" i="67"/>
  <c r="B271" i="67"/>
  <c r="A271" i="67"/>
  <c r="AF270" i="67"/>
  <c r="AE270" i="67"/>
  <c r="AD270" i="67"/>
  <c r="AC270" i="67"/>
  <c r="AB270" i="67"/>
  <c r="AA270" i="67"/>
  <c r="Z270" i="67"/>
  <c r="Y270" i="67"/>
  <c r="X270" i="67"/>
  <c r="W270" i="67"/>
  <c r="V270" i="67"/>
  <c r="U270" i="67"/>
  <c r="T270" i="67"/>
  <c r="S270" i="67"/>
  <c r="R270" i="67"/>
  <c r="Q270" i="67"/>
  <c r="P270" i="67"/>
  <c r="O270" i="67"/>
  <c r="N270" i="67"/>
  <c r="M270" i="67"/>
  <c r="L270" i="67"/>
  <c r="K270" i="67"/>
  <c r="J270" i="67"/>
  <c r="I270" i="67"/>
  <c r="H270" i="67"/>
  <c r="G270" i="67"/>
  <c r="F270" i="67"/>
  <c r="E270" i="67"/>
  <c r="D270" i="67"/>
  <c r="C270" i="67"/>
  <c r="B270" i="67"/>
  <c r="AX249" i="67"/>
  <c r="AW249" i="67"/>
  <c r="AV249" i="67"/>
  <c r="AU249" i="67"/>
  <c r="AT249" i="67"/>
  <c r="AS249" i="67"/>
  <c r="AR249" i="67"/>
  <c r="AQ249" i="67"/>
  <c r="AP249" i="67"/>
  <c r="AO249" i="67"/>
  <c r="AN249" i="67"/>
  <c r="AM249" i="67"/>
  <c r="AL249" i="67"/>
  <c r="AK249" i="67"/>
  <c r="AJ249" i="67"/>
  <c r="AI249" i="67"/>
  <c r="AH249" i="67"/>
  <c r="AG249" i="67"/>
  <c r="AF249" i="67"/>
  <c r="AE249" i="67"/>
  <c r="AD249" i="67"/>
  <c r="AC249" i="67"/>
  <c r="AB249" i="67"/>
  <c r="AA249" i="67"/>
  <c r="Z249" i="67"/>
  <c r="Y249" i="67"/>
  <c r="X249" i="67"/>
  <c r="W249" i="67"/>
  <c r="V249" i="67"/>
  <c r="U249" i="67"/>
  <c r="T249" i="67"/>
  <c r="S245" i="67"/>
  <c r="C244" i="67"/>
  <c r="B244" i="67"/>
  <c r="AG235" i="67"/>
  <c r="AF235" i="67"/>
  <c r="AE235" i="67"/>
  <c r="AD235" i="67"/>
  <c r="AC235" i="67"/>
  <c r="AB235" i="67"/>
  <c r="AA235" i="67"/>
  <c r="Z235" i="67"/>
  <c r="Y235" i="67"/>
  <c r="X235" i="67"/>
  <c r="W235" i="67"/>
  <c r="V235" i="67"/>
  <c r="U235" i="67"/>
  <c r="T235" i="67"/>
  <c r="S235" i="67"/>
  <c r="R235" i="67"/>
  <c r="Q235" i="67"/>
  <c r="H235" i="67"/>
  <c r="G235" i="67"/>
  <c r="F235" i="67"/>
  <c r="E235" i="67"/>
  <c r="D235" i="67"/>
  <c r="C235" i="67"/>
  <c r="B235" i="67"/>
  <c r="P234" i="67"/>
  <c r="O234" i="67"/>
  <c r="N234" i="67"/>
  <c r="M234" i="67"/>
  <c r="L234" i="67"/>
  <c r="K234" i="67"/>
  <c r="J234" i="67"/>
  <c r="I234" i="67"/>
  <c r="H234" i="67"/>
  <c r="G234" i="67"/>
  <c r="F234" i="67"/>
  <c r="E234" i="67"/>
  <c r="D234" i="67"/>
  <c r="B234" i="67"/>
  <c r="P233" i="67"/>
  <c r="O233" i="67"/>
  <c r="N233" i="67"/>
  <c r="M233" i="67"/>
  <c r="L233" i="67"/>
  <c r="K233" i="67"/>
  <c r="J233" i="67"/>
  <c r="I233" i="67"/>
  <c r="H233" i="67"/>
  <c r="G233" i="67"/>
  <c r="F233" i="67"/>
  <c r="E233" i="67"/>
  <c r="D233" i="67"/>
  <c r="B233" i="67"/>
  <c r="P232" i="67"/>
  <c r="O232" i="67"/>
  <c r="N232" i="67"/>
  <c r="M232" i="67"/>
  <c r="L232" i="67"/>
  <c r="K232" i="67"/>
  <c r="J232" i="67"/>
  <c r="I232" i="67"/>
  <c r="H232" i="67"/>
  <c r="G232" i="67"/>
  <c r="F232" i="67"/>
  <c r="E232" i="67"/>
  <c r="D232" i="67"/>
  <c r="B232" i="67"/>
  <c r="H231" i="67"/>
  <c r="G231" i="67"/>
  <c r="F231" i="67"/>
  <c r="E231" i="67"/>
  <c r="D231" i="67"/>
  <c r="B231" i="67"/>
  <c r="P230" i="67"/>
  <c r="O230" i="67"/>
  <c r="N230" i="67"/>
  <c r="M230" i="67"/>
  <c r="L230" i="67"/>
  <c r="K230" i="67"/>
  <c r="J230" i="67"/>
  <c r="I230" i="67"/>
  <c r="H230" i="67"/>
  <c r="G230" i="67"/>
  <c r="F230" i="67"/>
  <c r="E230" i="67"/>
  <c r="D230" i="67"/>
  <c r="B230" i="67"/>
  <c r="P229" i="67"/>
  <c r="O229" i="67"/>
  <c r="N229" i="67"/>
  <c r="M229" i="67"/>
  <c r="L229" i="67"/>
  <c r="K229" i="67"/>
  <c r="J229" i="67"/>
  <c r="I229" i="67"/>
  <c r="H229" i="67"/>
  <c r="G229" i="67"/>
  <c r="F229" i="67"/>
  <c r="E229" i="67"/>
  <c r="D229" i="67"/>
  <c r="B229" i="67"/>
  <c r="AG227" i="67"/>
  <c r="AF227" i="67"/>
  <c r="AE227" i="67"/>
  <c r="AD227" i="67"/>
  <c r="AC227" i="67"/>
  <c r="AB227" i="67"/>
  <c r="AA227" i="67"/>
  <c r="Z227" i="67"/>
  <c r="Y227" i="67"/>
  <c r="X227" i="67"/>
  <c r="W227" i="67"/>
  <c r="V227" i="67"/>
  <c r="U227" i="67"/>
  <c r="T227" i="67"/>
  <c r="S227" i="67"/>
  <c r="R227" i="67"/>
  <c r="Q227" i="67"/>
  <c r="P227" i="67"/>
  <c r="O227" i="67"/>
  <c r="N227" i="67"/>
  <c r="M227" i="67"/>
  <c r="L227" i="67"/>
  <c r="K227" i="67"/>
  <c r="J227" i="67"/>
  <c r="I227" i="67"/>
  <c r="H227" i="67"/>
  <c r="G227" i="67"/>
  <c r="F227" i="67"/>
  <c r="E227" i="67"/>
  <c r="D227" i="67"/>
  <c r="C227" i="67"/>
  <c r="B227" i="67"/>
  <c r="AI120" i="67"/>
  <c r="AH120" i="67"/>
  <c r="AI119" i="67"/>
  <c r="AH119" i="67"/>
  <c r="AI118" i="67"/>
  <c r="AH118" i="67"/>
  <c r="AI117" i="67"/>
  <c r="AH117" i="67"/>
  <c r="AI116" i="67"/>
  <c r="AH116" i="67"/>
  <c r="AI115" i="67"/>
  <c r="AH115" i="67"/>
  <c r="AI114" i="67"/>
  <c r="AH114" i="67"/>
  <c r="AI113" i="67"/>
  <c r="AH113" i="67"/>
  <c r="AB113" i="67"/>
  <c r="S113" i="67"/>
  <c r="R113" i="67"/>
  <c r="AI112" i="67"/>
  <c r="AH112" i="67"/>
  <c r="AI111" i="67"/>
  <c r="AH111" i="67"/>
  <c r="AI110" i="67"/>
  <c r="AH110" i="67"/>
  <c r="AF110" i="67"/>
  <c r="AE110" i="67"/>
  <c r="AC110" i="67"/>
  <c r="AB110" i="67"/>
  <c r="AA110" i="67"/>
  <c r="Z110" i="67"/>
  <c r="Y110" i="67"/>
  <c r="X110" i="67"/>
  <c r="W110" i="67"/>
  <c r="V110" i="67"/>
  <c r="U110" i="67"/>
  <c r="T110" i="67"/>
  <c r="S110" i="67"/>
  <c r="R110" i="67"/>
  <c r="Q110" i="67"/>
  <c r="O110" i="67"/>
  <c r="N110" i="67"/>
  <c r="M110" i="67"/>
  <c r="L110" i="67"/>
  <c r="K110" i="67"/>
  <c r="J110" i="67"/>
  <c r="I110" i="67"/>
  <c r="AI109" i="67"/>
  <c r="AH109" i="67"/>
  <c r="AI108" i="67"/>
  <c r="AH108" i="67"/>
  <c r="AI107" i="67"/>
  <c r="AH107" i="67"/>
  <c r="AI106" i="67"/>
  <c r="AH106" i="67"/>
  <c r="AI105" i="67"/>
  <c r="AH105" i="67"/>
  <c r="AI104" i="67"/>
  <c r="AH104" i="67"/>
  <c r="AI103" i="67"/>
  <c r="AH103" i="67"/>
  <c r="AI102" i="67"/>
  <c r="AH102" i="67"/>
  <c r="AI101" i="67"/>
  <c r="AH101" i="67"/>
  <c r="AI100" i="67"/>
  <c r="AH100" i="67"/>
  <c r="AF100" i="67"/>
  <c r="AE100" i="67"/>
  <c r="AD100" i="67"/>
  <c r="AC100" i="67"/>
  <c r="AB100" i="67"/>
  <c r="AA100" i="67"/>
  <c r="Z100" i="67"/>
  <c r="Y100" i="67"/>
  <c r="X100" i="67"/>
  <c r="W100" i="67"/>
  <c r="V100" i="67"/>
  <c r="U100" i="67"/>
  <c r="T100" i="67"/>
  <c r="S100" i="67"/>
  <c r="R100" i="67"/>
  <c r="Q100" i="67"/>
  <c r="P100" i="67"/>
  <c r="O100" i="67"/>
  <c r="N100" i="67"/>
  <c r="M100" i="67"/>
  <c r="L100" i="67"/>
  <c r="K100" i="67"/>
  <c r="J100" i="67"/>
  <c r="I100" i="67"/>
  <c r="AI99" i="67"/>
  <c r="AH99" i="67"/>
  <c r="AF99" i="67"/>
  <c r="AE99" i="67"/>
  <c r="AD99" i="67"/>
  <c r="AC99" i="67"/>
  <c r="AB99" i="67"/>
  <c r="AA99" i="67"/>
  <c r="Z99" i="67"/>
  <c r="Y99" i="67"/>
  <c r="X99" i="67"/>
  <c r="W99" i="67"/>
  <c r="V99" i="67"/>
  <c r="U99" i="67"/>
  <c r="T99" i="67"/>
  <c r="S99" i="67"/>
  <c r="R99" i="67"/>
  <c r="Q99" i="67"/>
  <c r="P99" i="67"/>
  <c r="O99" i="67"/>
  <c r="N99" i="67"/>
  <c r="M99" i="67"/>
  <c r="L99" i="67"/>
  <c r="K99" i="67"/>
  <c r="J99" i="67"/>
  <c r="I99" i="67"/>
  <c r="AI98" i="67"/>
  <c r="AH98" i="67"/>
  <c r="AI97" i="67"/>
  <c r="AH97" i="67"/>
  <c r="AI96" i="67"/>
  <c r="AH96" i="67"/>
  <c r="AI95" i="67"/>
  <c r="AH95" i="67"/>
  <c r="AI94" i="67"/>
  <c r="AH94" i="67"/>
  <c r="AI93" i="67"/>
  <c r="AH93" i="67"/>
  <c r="AI92" i="67"/>
  <c r="AH92" i="67"/>
  <c r="AF92" i="67"/>
  <c r="AE92" i="67"/>
  <c r="AD92" i="67"/>
  <c r="AC92" i="67"/>
  <c r="AB92" i="67"/>
  <c r="AA92" i="67"/>
  <c r="Z92" i="67"/>
  <c r="Y92" i="67"/>
  <c r="X92" i="67"/>
  <c r="W92" i="67"/>
  <c r="V92" i="67"/>
  <c r="U92" i="67"/>
  <c r="T92" i="67"/>
  <c r="S92" i="67"/>
  <c r="R92" i="67"/>
  <c r="Q92" i="67"/>
  <c r="P92" i="67"/>
  <c r="O92" i="67"/>
  <c r="N92" i="67"/>
  <c r="M92" i="67"/>
  <c r="L92" i="67"/>
  <c r="K92" i="67"/>
  <c r="J92" i="67"/>
  <c r="I92" i="67"/>
  <c r="AI91" i="67"/>
  <c r="AH91" i="67"/>
  <c r="AG91" i="67"/>
  <c r="AF91" i="67"/>
  <c r="AE91" i="67"/>
  <c r="AD91" i="67"/>
  <c r="AC91" i="67"/>
  <c r="AB91" i="67"/>
  <c r="AA91" i="67"/>
  <c r="Z91" i="67"/>
  <c r="Y91" i="67"/>
  <c r="X91" i="67"/>
  <c r="W91" i="67"/>
  <c r="V91" i="67"/>
  <c r="U91" i="67"/>
  <c r="T91" i="67"/>
  <c r="S91" i="67"/>
  <c r="R91" i="67"/>
  <c r="Q91" i="67"/>
  <c r="P91" i="67"/>
  <c r="O91" i="67"/>
  <c r="N91" i="67"/>
  <c r="M91" i="67"/>
  <c r="L91" i="67"/>
  <c r="K91" i="67"/>
  <c r="J91" i="67"/>
  <c r="I91" i="67"/>
  <c r="AI90" i="67"/>
  <c r="AH90" i="67"/>
  <c r="AI89" i="67"/>
  <c r="AH89" i="67"/>
  <c r="AG89" i="67"/>
  <c r="AF89" i="67"/>
  <c r="AE89" i="67"/>
  <c r="AD89" i="67"/>
  <c r="AC89" i="67"/>
  <c r="AB89" i="67"/>
  <c r="AA89" i="67"/>
  <c r="Z89" i="67"/>
  <c r="Y89" i="67"/>
  <c r="X89" i="67"/>
  <c r="W89" i="67"/>
  <c r="V89" i="67"/>
  <c r="U89" i="67"/>
  <c r="T89" i="67"/>
  <c r="S89" i="67"/>
  <c r="R89" i="67"/>
  <c r="Q89" i="67"/>
  <c r="P89" i="67"/>
  <c r="O89" i="67"/>
  <c r="N89" i="67"/>
  <c r="M89" i="67"/>
  <c r="L89" i="67"/>
  <c r="K89" i="67"/>
  <c r="J89" i="67"/>
  <c r="I89" i="67"/>
  <c r="AI88" i="67"/>
  <c r="AH88" i="67"/>
  <c r="AG88" i="67"/>
  <c r="AI87" i="67"/>
  <c r="AH87" i="67"/>
  <c r="AI86" i="67"/>
  <c r="AH86" i="67"/>
  <c r="AI85" i="67"/>
  <c r="AH85" i="67"/>
  <c r="AI84" i="67"/>
  <c r="AH84" i="67"/>
  <c r="AG84" i="67"/>
  <c r="AF84" i="67"/>
  <c r="AE84" i="67"/>
  <c r="AD84" i="67"/>
  <c r="AC84" i="67"/>
  <c r="AA84" i="67"/>
  <c r="Z84" i="67"/>
  <c r="Y84" i="67"/>
  <c r="X84" i="67"/>
  <c r="W84" i="67"/>
  <c r="V84" i="67"/>
  <c r="U84" i="67"/>
  <c r="T84" i="67"/>
  <c r="S84" i="67"/>
  <c r="R84" i="67"/>
  <c r="Q84" i="67"/>
  <c r="P84" i="67"/>
  <c r="O84" i="67"/>
  <c r="N84" i="67"/>
  <c r="M84" i="67"/>
  <c r="L84" i="67"/>
  <c r="K84" i="67"/>
  <c r="J84" i="67"/>
  <c r="I84" i="67"/>
  <c r="AI83" i="67"/>
  <c r="AH83" i="67"/>
  <c r="AI82" i="67"/>
  <c r="AH82" i="67"/>
  <c r="AI81" i="67"/>
  <c r="AH81" i="67"/>
  <c r="AI80" i="67"/>
  <c r="AH80" i="67"/>
  <c r="AI79" i="67"/>
  <c r="AH79" i="67"/>
  <c r="AI78" i="67"/>
  <c r="AH78" i="67"/>
  <c r="AI77" i="67"/>
  <c r="AH77" i="67"/>
  <c r="AI76" i="67"/>
  <c r="AH76" i="67"/>
  <c r="AI75" i="67"/>
  <c r="AH75" i="67"/>
  <c r="AI74" i="67"/>
  <c r="AH74" i="67"/>
  <c r="AI73" i="67"/>
  <c r="AH73" i="67"/>
  <c r="AI72" i="67"/>
  <c r="AH72" i="67"/>
  <c r="AG72" i="67"/>
  <c r="AF72" i="67"/>
  <c r="AE72" i="67"/>
  <c r="AD72" i="67"/>
  <c r="AC72" i="67"/>
  <c r="AB72" i="67"/>
  <c r="AA72" i="67"/>
  <c r="Z72" i="67"/>
  <c r="Y72" i="67"/>
  <c r="X72" i="67"/>
  <c r="W72" i="67"/>
  <c r="V72" i="67"/>
  <c r="U72" i="67"/>
  <c r="T72" i="67"/>
  <c r="S72" i="67"/>
  <c r="R72" i="67"/>
  <c r="Q72" i="67"/>
  <c r="P72" i="67"/>
  <c r="O72" i="67"/>
  <c r="N72" i="67"/>
  <c r="M72" i="67"/>
  <c r="L72" i="67"/>
  <c r="AI71" i="67"/>
  <c r="AH71" i="67"/>
  <c r="AI70" i="67"/>
  <c r="AH70" i="67"/>
  <c r="AI69" i="67"/>
  <c r="AH69" i="67"/>
  <c r="AI68" i="67"/>
  <c r="AH68" i="67"/>
  <c r="AG68" i="67"/>
  <c r="AF68" i="67"/>
  <c r="AE68" i="67"/>
  <c r="AD68" i="67"/>
  <c r="AC68" i="67"/>
  <c r="AB68" i="67"/>
  <c r="AA68" i="67"/>
  <c r="Z68" i="67"/>
  <c r="Y68" i="67"/>
  <c r="X68" i="67"/>
  <c r="W68" i="67"/>
  <c r="V68" i="67"/>
  <c r="U68" i="67"/>
  <c r="T68" i="67"/>
  <c r="S68" i="67"/>
  <c r="R68" i="67"/>
  <c r="Q68" i="67"/>
  <c r="P68" i="67"/>
  <c r="O68" i="67"/>
  <c r="N68" i="67"/>
  <c r="M68" i="67"/>
  <c r="L68" i="67"/>
  <c r="K68" i="67"/>
  <c r="J68" i="67"/>
  <c r="I68" i="67"/>
  <c r="AI67" i="67"/>
  <c r="AH67" i="67"/>
  <c r="AG67" i="67"/>
  <c r="AI66" i="67"/>
  <c r="AH66" i="67"/>
  <c r="AI65" i="67"/>
  <c r="AH65" i="67"/>
  <c r="AI64" i="67"/>
  <c r="AH64" i="67"/>
  <c r="AI63" i="67"/>
  <c r="AH63" i="67"/>
  <c r="AI62" i="67"/>
  <c r="AH62" i="67"/>
  <c r="AI61" i="67"/>
  <c r="AH61" i="67"/>
  <c r="AI60" i="67"/>
  <c r="AH60" i="67"/>
  <c r="AI59" i="67"/>
  <c r="AH59" i="67"/>
  <c r="AI58" i="67"/>
  <c r="AH58" i="67"/>
  <c r="AI57" i="67"/>
  <c r="AH57" i="67"/>
  <c r="AI56" i="67"/>
  <c r="AH56" i="67"/>
  <c r="AI55" i="67"/>
  <c r="AH55" i="67"/>
  <c r="AI54" i="67"/>
  <c r="AH54" i="67"/>
  <c r="AG54" i="67"/>
  <c r="AF54" i="67"/>
  <c r="AE54" i="67"/>
  <c r="AD54" i="67"/>
  <c r="AC54" i="67"/>
  <c r="AB54" i="67"/>
  <c r="AA54" i="67"/>
  <c r="Z54" i="67"/>
  <c r="Y54" i="67"/>
  <c r="X54" i="67"/>
  <c r="W54" i="67"/>
  <c r="V54" i="67"/>
  <c r="U54" i="67"/>
  <c r="T54" i="67"/>
  <c r="S54" i="67"/>
  <c r="R54" i="67"/>
  <c r="Q54" i="67"/>
  <c r="P54" i="67"/>
  <c r="O54" i="67"/>
  <c r="N54" i="67"/>
  <c r="M54" i="67"/>
  <c r="AI53" i="67"/>
  <c r="AH53" i="67"/>
  <c r="AI52" i="67"/>
  <c r="AH52" i="67"/>
  <c r="AI51" i="67"/>
  <c r="AH51" i="67"/>
  <c r="AI50" i="67"/>
  <c r="AH50" i="67"/>
  <c r="AG50" i="67"/>
  <c r="AF50" i="67"/>
  <c r="AE50" i="67"/>
  <c r="AD50" i="67"/>
  <c r="AC50" i="67"/>
  <c r="AB50" i="67"/>
  <c r="AA50" i="67"/>
  <c r="Z50" i="67"/>
  <c r="Y50" i="67"/>
  <c r="X50" i="67"/>
  <c r="W50" i="67"/>
  <c r="V50" i="67"/>
  <c r="U50" i="67"/>
  <c r="T50" i="67"/>
  <c r="S50" i="67"/>
  <c r="R50" i="67"/>
  <c r="Q50" i="67"/>
  <c r="P50" i="67"/>
  <c r="O50" i="67"/>
  <c r="N50" i="67"/>
  <c r="M50" i="67"/>
  <c r="AI49" i="67"/>
  <c r="AH49" i="67"/>
  <c r="AB49" i="67"/>
  <c r="AA49" i="67"/>
  <c r="Z49" i="67"/>
  <c r="Y49" i="67"/>
  <c r="X49" i="67"/>
  <c r="W49" i="67"/>
  <c r="V49" i="67"/>
  <c r="U49" i="67"/>
  <c r="T49" i="67"/>
  <c r="S49" i="67"/>
  <c r="AI48" i="67"/>
  <c r="AH48" i="67"/>
  <c r="AI47" i="67"/>
  <c r="AH47" i="67"/>
  <c r="AI46" i="67"/>
  <c r="AH46" i="67"/>
  <c r="AI45" i="67"/>
  <c r="AH45" i="67"/>
  <c r="AI44" i="67"/>
  <c r="AH44" i="67"/>
  <c r="AI43" i="67"/>
  <c r="AH43" i="67"/>
  <c r="AI42" i="67"/>
  <c r="AH42" i="67"/>
  <c r="AI41" i="67"/>
  <c r="AH41" i="67"/>
  <c r="AI40" i="67"/>
  <c r="AH40" i="67"/>
  <c r="AI39" i="67"/>
  <c r="AH39" i="67"/>
  <c r="AI38" i="67"/>
  <c r="AH38" i="67"/>
  <c r="AI37" i="67"/>
  <c r="AH37" i="67"/>
  <c r="AI36" i="67"/>
  <c r="AH36" i="67"/>
  <c r="AI35" i="67"/>
  <c r="AH35" i="67"/>
  <c r="AI34" i="67"/>
  <c r="AH34" i="67"/>
  <c r="AI33" i="67"/>
  <c r="AH33" i="67"/>
  <c r="AI32" i="67"/>
  <c r="AH32" i="67"/>
  <c r="AI31" i="67"/>
  <c r="AH31" i="67"/>
  <c r="AI30" i="67"/>
  <c r="AH30" i="67"/>
  <c r="AI29" i="67"/>
  <c r="AH29" i="67"/>
  <c r="AI28" i="67"/>
  <c r="AH28" i="67"/>
  <c r="AI27" i="67"/>
  <c r="AH27" i="67"/>
  <c r="AI26" i="67"/>
  <c r="AH26" i="67"/>
  <c r="AI25" i="67"/>
  <c r="AH25" i="67"/>
  <c r="AI24" i="67"/>
  <c r="AH24" i="67"/>
  <c r="AI23" i="67"/>
  <c r="AH23" i="67"/>
  <c r="AI22" i="67"/>
  <c r="AH22" i="67"/>
  <c r="AI21" i="67"/>
  <c r="AH21" i="67"/>
  <c r="AI20" i="67"/>
  <c r="AH20" i="67"/>
  <c r="AI19" i="67"/>
  <c r="AH19" i="67"/>
  <c r="AI18" i="67"/>
  <c r="AH18" i="67"/>
  <c r="AI17" i="67"/>
  <c r="AH17" i="67"/>
  <c r="AI16" i="67"/>
  <c r="AH16" i="67"/>
  <c r="AI15" i="67"/>
  <c r="AH15" i="67"/>
  <c r="AI14" i="67"/>
  <c r="AH14" i="67"/>
  <c r="AI13" i="67"/>
  <c r="AH13" i="67"/>
  <c r="AI12" i="67"/>
  <c r="AH12" i="67"/>
  <c r="AI11" i="67"/>
  <c r="AH11" i="67"/>
  <c r="AF7" i="67"/>
  <c r="AE7" i="67"/>
  <c r="AD7" i="67"/>
  <c r="AC7" i="67"/>
  <c r="AB7" i="67"/>
  <c r="AA7" i="67"/>
  <c r="Z7" i="67"/>
  <c r="Y7" i="67"/>
  <c r="X7" i="67"/>
  <c r="W7" i="67"/>
  <c r="V7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F7" i="67"/>
  <c r="E7" i="67"/>
  <c r="D7" i="67"/>
  <c r="C7" i="67"/>
  <c r="B7" i="67"/>
  <c r="A7" i="67"/>
  <c r="AG6" i="67"/>
  <c r="K6" i="67"/>
  <c r="AF5" i="67"/>
  <c r="AE5" i="67"/>
  <c r="AD5" i="67"/>
  <c r="AC5" i="67"/>
  <c r="AB5" i="67"/>
  <c r="AA5" i="67"/>
  <c r="Z5" i="67"/>
  <c r="Y5" i="67"/>
  <c r="X5" i="67"/>
  <c r="W5" i="67"/>
  <c r="V5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F5" i="67"/>
  <c r="E5" i="67"/>
  <c r="D5" i="67"/>
  <c r="C5" i="67"/>
  <c r="B5" i="67"/>
  <c r="AG4" i="67"/>
  <c r="K4" i="67"/>
  <c r="E4" i="67"/>
  <c r="H4" i="67" s="1"/>
  <c r="B4" i="67"/>
  <c r="S246" i="67" s="1"/>
  <c r="AG3" i="67"/>
  <c r="AG2" i="67"/>
  <c r="AF274" i="36"/>
  <c r="AE274" i="36"/>
  <c r="AD274" i="36"/>
  <c r="AC274" i="36"/>
  <c r="AB274" i="36"/>
  <c r="AA274" i="36"/>
  <c r="Z274" i="36"/>
  <c r="Y274" i="36"/>
  <c r="X274" i="36"/>
  <c r="W274" i="36"/>
  <c r="V274" i="36"/>
  <c r="U274" i="36"/>
  <c r="T274" i="36"/>
  <c r="S274" i="36"/>
  <c r="R274" i="36"/>
  <c r="Q274" i="36"/>
  <c r="P274" i="36"/>
  <c r="O274" i="36"/>
  <c r="N274" i="36"/>
  <c r="M274" i="36"/>
  <c r="L274" i="36"/>
  <c r="K274" i="36"/>
  <c r="J274" i="36"/>
  <c r="I274" i="36"/>
  <c r="H274" i="36"/>
  <c r="G274" i="36"/>
  <c r="F274" i="36"/>
  <c r="E274" i="36"/>
  <c r="D274" i="36"/>
  <c r="C274" i="36"/>
  <c r="B274" i="36"/>
  <c r="A274" i="36"/>
  <c r="AF273" i="36"/>
  <c r="AE273" i="36"/>
  <c r="AD273" i="36"/>
  <c r="AC273" i="36"/>
  <c r="AB273" i="36"/>
  <c r="AA273" i="36"/>
  <c r="Z273" i="36"/>
  <c r="Y273" i="36"/>
  <c r="X273" i="36"/>
  <c r="W273" i="36"/>
  <c r="V273" i="36"/>
  <c r="U273" i="36"/>
  <c r="T273" i="36"/>
  <c r="S273" i="36"/>
  <c r="R273" i="36"/>
  <c r="Q273" i="36"/>
  <c r="P273" i="36"/>
  <c r="O273" i="36"/>
  <c r="N273" i="36"/>
  <c r="M273" i="36"/>
  <c r="L273" i="36"/>
  <c r="K273" i="36"/>
  <c r="J273" i="36"/>
  <c r="I273" i="36"/>
  <c r="H273" i="36"/>
  <c r="G273" i="36"/>
  <c r="F273" i="36"/>
  <c r="E273" i="36"/>
  <c r="D273" i="36"/>
  <c r="C273" i="36"/>
  <c r="B273" i="36"/>
  <c r="A273" i="36"/>
  <c r="AF272" i="36"/>
  <c r="AE272" i="36"/>
  <c r="AD272" i="36"/>
  <c r="AC272" i="36"/>
  <c r="AB272" i="36"/>
  <c r="AA272" i="36"/>
  <c r="Z272" i="36"/>
  <c r="Y272" i="36"/>
  <c r="X272" i="36"/>
  <c r="W272" i="36"/>
  <c r="V272" i="36"/>
  <c r="U272" i="36"/>
  <c r="T272" i="36"/>
  <c r="S272" i="36"/>
  <c r="R272" i="36"/>
  <c r="Q272" i="36"/>
  <c r="P272" i="36"/>
  <c r="O272" i="36"/>
  <c r="N272" i="36"/>
  <c r="M272" i="36"/>
  <c r="L272" i="36"/>
  <c r="K272" i="36"/>
  <c r="J272" i="36"/>
  <c r="I272" i="36"/>
  <c r="H272" i="36"/>
  <c r="G272" i="36"/>
  <c r="F272" i="36"/>
  <c r="E272" i="36"/>
  <c r="D272" i="36"/>
  <c r="C272" i="36"/>
  <c r="B272" i="36"/>
  <c r="A272" i="36"/>
  <c r="AF271" i="36"/>
  <c r="AE271" i="36"/>
  <c r="AD271" i="36"/>
  <c r="AC271" i="36"/>
  <c r="AB271" i="36"/>
  <c r="AA271" i="36"/>
  <c r="Z271" i="36"/>
  <c r="Y271" i="36"/>
  <c r="X271" i="36"/>
  <c r="W271" i="36"/>
  <c r="V271" i="36"/>
  <c r="U271" i="36"/>
  <c r="T271" i="36"/>
  <c r="S271" i="36"/>
  <c r="R271" i="36"/>
  <c r="Q271" i="36"/>
  <c r="P271" i="36"/>
  <c r="O271" i="36"/>
  <c r="N271" i="36"/>
  <c r="M271" i="36"/>
  <c r="L271" i="36"/>
  <c r="K271" i="36"/>
  <c r="J271" i="36"/>
  <c r="I271" i="36"/>
  <c r="H271" i="36"/>
  <c r="G271" i="36"/>
  <c r="F271" i="36"/>
  <c r="E271" i="36"/>
  <c r="D271" i="36"/>
  <c r="C271" i="36"/>
  <c r="B271" i="36"/>
  <c r="A271" i="36"/>
  <c r="AF270" i="36"/>
  <c r="AE270" i="36"/>
  <c r="AD270" i="36"/>
  <c r="AC270" i="36"/>
  <c r="AB270" i="36"/>
  <c r="AA270" i="36"/>
  <c r="Z270" i="36"/>
  <c r="Y270" i="36"/>
  <c r="X270" i="36"/>
  <c r="W270" i="36"/>
  <c r="V270" i="36"/>
  <c r="U270" i="36"/>
  <c r="T270" i="36"/>
  <c r="S270" i="36"/>
  <c r="R270" i="36"/>
  <c r="Q270" i="36"/>
  <c r="P270" i="36"/>
  <c r="O270" i="36"/>
  <c r="N270" i="36"/>
  <c r="M270" i="36"/>
  <c r="L270" i="36"/>
  <c r="K270" i="36"/>
  <c r="J270" i="36"/>
  <c r="I270" i="36"/>
  <c r="H270" i="36"/>
  <c r="G270" i="36"/>
  <c r="F270" i="36"/>
  <c r="E270" i="36"/>
  <c r="D270" i="36"/>
  <c r="C270" i="36"/>
  <c r="B270" i="36"/>
  <c r="AX249" i="36"/>
  <c r="AW249" i="36"/>
  <c r="AV249" i="36"/>
  <c r="AU249" i="36"/>
  <c r="AT249" i="36"/>
  <c r="AS249" i="36"/>
  <c r="AR249" i="36"/>
  <c r="AQ249" i="36"/>
  <c r="AP249" i="36"/>
  <c r="AO249" i="36"/>
  <c r="AN249" i="36"/>
  <c r="AM249" i="36"/>
  <c r="AL249" i="36"/>
  <c r="AK249" i="36"/>
  <c r="AJ249" i="36"/>
  <c r="AI249" i="36"/>
  <c r="AH249" i="36"/>
  <c r="AG249" i="36"/>
  <c r="AF249" i="36"/>
  <c r="AE249" i="36"/>
  <c r="AD249" i="36"/>
  <c r="AC249" i="36"/>
  <c r="AB249" i="36"/>
  <c r="AA249" i="36"/>
  <c r="Z249" i="36"/>
  <c r="Y249" i="36"/>
  <c r="X249" i="36"/>
  <c r="W249" i="36"/>
  <c r="V249" i="36"/>
  <c r="U249" i="36"/>
  <c r="T249" i="36"/>
  <c r="S245" i="36"/>
  <c r="C244" i="36"/>
  <c r="B244" i="36"/>
  <c r="AG235" i="36"/>
  <c r="AF235" i="36"/>
  <c r="AE235" i="36"/>
  <c r="AD235" i="36"/>
  <c r="AC235" i="36"/>
  <c r="AB235" i="36"/>
  <c r="AA235" i="36"/>
  <c r="Z235" i="36"/>
  <c r="Y235" i="36"/>
  <c r="X235" i="36"/>
  <c r="W235" i="36"/>
  <c r="V235" i="36"/>
  <c r="U235" i="36"/>
  <c r="T235" i="36"/>
  <c r="S235" i="36"/>
  <c r="R235" i="36"/>
  <c r="Q235" i="36"/>
  <c r="H235" i="36"/>
  <c r="G235" i="36"/>
  <c r="F235" i="36"/>
  <c r="E235" i="36"/>
  <c r="D235" i="36"/>
  <c r="C235" i="36"/>
  <c r="B235" i="36"/>
  <c r="P234" i="36"/>
  <c r="O234" i="36"/>
  <c r="N234" i="36"/>
  <c r="M234" i="36"/>
  <c r="L234" i="36"/>
  <c r="K234" i="36"/>
  <c r="J234" i="36"/>
  <c r="I234" i="36"/>
  <c r="H234" i="36"/>
  <c r="G234" i="36"/>
  <c r="F234" i="36"/>
  <c r="E234" i="36"/>
  <c r="D234" i="36"/>
  <c r="B234" i="36"/>
  <c r="P233" i="36"/>
  <c r="O233" i="36"/>
  <c r="N233" i="36"/>
  <c r="M233" i="36"/>
  <c r="L233" i="36"/>
  <c r="K233" i="36"/>
  <c r="J233" i="36"/>
  <c r="I233" i="36"/>
  <c r="H233" i="36"/>
  <c r="G233" i="36"/>
  <c r="F233" i="36"/>
  <c r="E233" i="36"/>
  <c r="D233" i="36"/>
  <c r="B233" i="36"/>
  <c r="P232" i="36"/>
  <c r="O232" i="36"/>
  <c r="N232" i="36"/>
  <c r="M232" i="36"/>
  <c r="L232" i="36"/>
  <c r="K232" i="36"/>
  <c r="J232" i="36"/>
  <c r="I232" i="36"/>
  <c r="H232" i="36"/>
  <c r="G232" i="36"/>
  <c r="F232" i="36"/>
  <c r="E232" i="36"/>
  <c r="D232" i="36"/>
  <c r="B232" i="36"/>
  <c r="H231" i="36"/>
  <c r="G231" i="36"/>
  <c r="F231" i="36"/>
  <c r="E231" i="36"/>
  <c r="D231" i="36"/>
  <c r="B231" i="36"/>
  <c r="P230" i="36"/>
  <c r="O230" i="36"/>
  <c r="N230" i="36"/>
  <c r="M230" i="36"/>
  <c r="L230" i="36"/>
  <c r="K230" i="36"/>
  <c r="J230" i="36"/>
  <c r="I230" i="36"/>
  <c r="H230" i="36"/>
  <c r="G230" i="36"/>
  <c r="F230" i="36"/>
  <c r="E230" i="36"/>
  <c r="D230" i="36"/>
  <c r="B230" i="36"/>
  <c r="P229" i="36"/>
  <c r="O229" i="36"/>
  <c r="N229" i="36"/>
  <c r="M229" i="36"/>
  <c r="L229" i="36"/>
  <c r="K229" i="36"/>
  <c r="J229" i="36"/>
  <c r="I229" i="36"/>
  <c r="H229" i="36"/>
  <c r="G229" i="36"/>
  <c r="F229" i="36"/>
  <c r="E229" i="36"/>
  <c r="D229" i="36"/>
  <c r="B229" i="36"/>
  <c r="AG227" i="36"/>
  <c r="AF227" i="36"/>
  <c r="AE227" i="36"/>
  <c r="AD227" i="36"/>
  <c r="AC227" i="36"/>
  <c r="AB227" i="36"/>
  <c r="AA227" i="36"/>
  <c r="Z227" i="36"/>
  <c r="Y227" i="36"/>
  <c r="X227" i="36"/>
  <c r="W227" i="36"/>
  <c r="V227" i="36"/>
  <c r="U227" i="36"/>
  <c r="T227" i="36"/>
  <c r="S227" i="36"/>
  <c r="R227" i="36"/>
  <c r="Q227" i="36"/>
  <c r="P227" i="36"/>
  <c r="O227" i="36"/>
  <c r="N227" i="36"/>
  <c r="M227" i="36"/>
  <c r="L227" i="36"/>
  <c r="K227" i="36"/>
  <c r="J227" i="36"/>
  <c r="I227" i="36"/>
  <c r="H227" i="36"/>
  <c r="G227" i="36"/>
  <c r="F227" i="36"/>
  <c r="E227" i="36"/>
  <c r="D227" i="36"/>
  <c r="C227" i="36"/>
  <c r="B227" i="36"/>
  <c r="AI120" i="36"/>
  <c r="AH120" i="36"/>
  <c r="AI119" i="36"/>
  <c r="AH119" i="36"/>
  <c r="AI118" i="36"/>
  <c r="AH118" i="36"/>
  <c r="AI117" i="36"/>
  <c r="AH117" i="36"/>
  <c r="AI116" i="36"/>
  <c r="AH116" i="36"/>
  <c r="AI115" i="36"/>
  <c r="AH115" i="36"/>
  <c r="AI114" i="36"/>
  <c r="AH114" i="36"/>
  <c r="AI113" i="36"/>
  <c r="AH113" i="36"/>
  <c r="X113" i="36"/>
  <c r="U113" i="36"/>
  <c r="R113" i="36"/>
  <c r="AI112" i="36"/>
  <c r="AH112" i="36"/>
  <c r="AI111" i="36"/>
  <c r="AH111" i="36"/>
  <c r="AI110" i="36"/>
  <c r="AH110" i="36"/>
  <c r="AF110" i="36"/>
  <c r="AE110" i="36"/>
  <c r="AC110" i="36"/>
  <c r="AB110" i="36"/>
  <c r="AA110" i="36"/>
  <c r="Z110" i="36"/>
  <c r="Y110" i="36"/>
  <c r="X110" i="36"/>
  <c r="W110" i="36"/>
  <c r="V110" i="36"/>
  <c r="U110" i="36"/>
  <c r="T110" i="36"/>
  <c r="S110" i="36"/>
  <c r="R110" i="36"/>
  <c r="Q110" i="36"/>
  <c r="O110" i="36"/>
  <c r="N110" i="36"/>
  <c r="M110" i="36"/>
  <c r="L110" i="36"/>
  <c r="K110" i="36"/>
  <c r="J110" i="36"/>
  <c r="I110" i="36"/>
  <c r="H110" i="36"/>
  <c r="G110" i="36"/>
  <c r="F110" i="36"/>
  <c r="E110" i="36"/>
  <c r="D110" i="36"/>
  <c r="C110" i="36"/>
  <c r="B110" i="36"/>
  <c r="AI109" i="36"/>
  <c r="AH109" i="36"/>
  <c r="AI108" i="36"/>
  <c r="AH108" i="36"/>
  <c r="AI107" i="36"/>
  <c r="AH107" i="36"/>
  <c r="AI106" i="36"/>
  <c r="AH106" i="36"/>
  <c r="AI105" i="36"/>
  <c r="AH105" i="36"/>
  <c r="AI104" i="36"/>
  <c r="AH104" i="36"/>
  <c r="AI103" i="36"/>
  <c r="AH103" i="36"/>
  <c r="AI102" i="36"/>
  <c r="AH102" i="36"/>
  <c r="AI101" i="36"/>
  <c r="AH101" i="36"/>
  <c r="AI100" i="36"/>
  <c r="AH100" i="36"/>
  <c r="AF100" i="36"/>
  <c r="AE100" i="36"/>
  <c r="AD100" i="36"/>
  <c r="AC100" i="36"/>
  <c r="AB100" i="36"/>
  <c r="AA100" i="36"/>
  <c r="Z100" i="36"/>
  <c r="Y100" i="36"/>
  <c r="X100" i="36"/>
  <c r="W100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E100" i="36"/>
  <c r="D100" i="36"/>
  <c r="C100" i="36"/>
  <c r="B100" i="36"/>
  <c r="AI99" i="36"/>
  <c r="AH99" i="36"/>
  <c r="AI98" i="36"/>
  <c r="AH98" i="36"/>
  <c r="AI97" i="36"/>
  <c r="AH97" i="36"/>
  <c r="AI96" i="36"/>
  <c r="AH96" i="36"/>
  <c r="AI95" i="36"/>
  <c r="AH95" i="36"/>
  <c r="AI94" i="36"/>
  <c r="AH94" i="36"/>
  <c r="AI93" i="36"/>
  <c r="AH93" i="36"/>
  <c r="AI92" i="36"/>
  <c r="AH92" i="36"/>
  <c r="AF92" i="36"/>
  <c r="AE92" i="36"/>
  <c r="AD92" i="36"/>
  <c r="AC92" i="36"/>
  <c r="AB92" i="36"/>
  <c r="AA92" i="36"/>
  <c r="Z92" i="36"/>
  <c r="Y92" i="36"/>
  <c r="X92" i="36"/>
  <c r="W92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E92" i="36"/>
  <c r="D92" i="36"/>
  <c r="C92" i="36"/>
  <c r="B92" i="36"/>
  <c r="AI91" i="36"/>
  <c r="AH91" i="36"/>
  <c r="AG91" i="36"/>
  <c r="AF91" i="36"/>
  <c r="AE91" i="36"/>
  <c r="AD91" i="36"/>
  <c r="AC91" i="36"/>
  <c r="AB91" i="36"/>
  <c r="AA91" i="36"/>
  <c r="Z91" i="36"/>
  <c r="Y91" i="36"/>
  <c r="X91" i="36"/>
  <c r="W91" i="36"/>
  <c r="V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G91" i="36"/>
  <c r="F91" i="36"/>
  <c r="E91" i="36"/>
  <c r="D91" i="36"/>
  <c r="C91" i="36"/>
  <c r="B91" i="36"/>
  <c r="AI90" i="36"/>
  <c r="AH90" i="36"/>
  <c r="AI89" i="36"/>
  <c r="AH89" i="36"/>
  <c r="AG89" i="36"/>
  <c r="AF89" i="36"/>
  <c r="AE89" i="36"/>
  <c r="AD89" i="36"/>
  <c r="AC89" i="36"/>
  <c r="AB89" i="36"/>
  <c r="AA89" i="36"/>
  <c r="Z89" i="36"/>
  <c r="Y89" i="36"/>
  <c r="X89" i="36"/>
  <c r="W89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E89" i="36"/>
  <c r="D89" i="36"/>
  <c r="C89" i="36"/>
  <c r="B89" i="36"/>
  <c r="AI88" i="36"/>
  <c r="AH88" i="36"/>
  <c r="AG88" i="36"/>
  <c r="AI87" i="36"/>
  <c r="AH87" i="36"/>
  <c r="AI86" i="36"/>
  <c r="AH86" i="36"/>
  <c r="AI85" i="36"/>
  <c r="AH85" i="36"/>
  <c r="AN84" i="36"/>
  <c r="AI84" i="36"/>
  <c r="AH84" i="36"/>
  <c r="AG84" i="36"/>
  <c r="AF84" i="36"/>
  <c r="AE84" i="36"/>
  <c r="AD84" i="36"/>
  <c r="AC84" i="36"/>
  <c r="AB84" i="36"/>
  <c r="AA84" i="36"/>
  <c r="Z84" i="36"/>
  <c r="Y84" i="36"/>
  <c r="X84" i="36"/>
  <c r="W84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C84" i="36"/>
  <c r="B84" i="36"/>
  <c r="AN83" i="36"/>
  <c r="AI83" i="36"/>
  <c r="AH83" i="36"/>
  <c r="AN82" i="36"/>
  <c r="AI82" i="36"/>
  <c r="AH82" i="36"/>
  <c r="AN81" i="36"/>
  <c r="AI81" i="36"/>
  <c r="AH81" i="36"/>
  <c r="AI80" i="36"/>
  <c r="AH80" i="36"/>
  <c r="AI79" i="36"/>
  <c r="AH79" i="36"/>
  <c r="AI78" i="36"/>
  <c r="AH78" i="36"/>
  <c r="AI77" i="36"/>
  <c r="AH77" i="36"/>
  <c r="AI76" i="36"/>
  <c r="AH76" i="36"/>
  <c r="AI75" i="36"/>
  <c r="AH75" i="36"/>
  <c r="AI74" i="36"/>
  <c r="AH74" i="36"/>
  <c r="AI73" i="36"/>
  <c r="AH73" i="36"/>
  <c r="AI72" i="36"/>
  <c r="AH72" i="36"/>
  <c r="AG72" i="36"/>
  <c r="AF72" i="36"/>
  <c r="AE72" i="36"/>
  <c r="AD72" i="36"/>
  <c r="AC72" i="36"/>
  <c r="AB72" i="36"/>
  <c r="AA72" i="36"/>
  <c r="Z72" i="36"/>
  <c r="Y72" i="36"/>
  <c r="X72" i="36"/>
  <c r="W72" i="36"/>
  <c r="V72" i="36"/>
  <c r="U72" i="36"/>
  <c r="T72" i="36"/>
  <c r="S72" i="36"/>
  <c r="R72" i="36"/>
  <c r="Q72" i="36"/>
  <c r="P72" i="36"/>
  <c r="O72" i="36"/>
  <c r="N72" i="36"/>
  <c r="M72" i="36"/>
  <c r="L72" i="36"/>
  <c r="B72" i="36"/>
  <c r="AI71" i="36"/>
  <c r="AH71" i="36"/>
  <c r="AI70" i="36"/>
  <c r="AH70" i="36"/>
  <c r="AI69" i="36"/>
  <c r="AH69" i="36"/>
  <c r="AI68" i="36"/>
  <c r="AH68" i="36"/>
  <c r="AG68" i="36"/>
  <c r="AF68" i="36"/>
  <c r="AE68" i="36"/>
  <c r="AD68" i="36"/>
  <c r="AC68" i="36"/>
  <c r="AB68" i="36"/>
  <c r="AA68" i="36"/>
  <c r="Z68" i="36"/>
  <c r="Y68" i="36"/>
  <c r="X68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C68" i="36"/>
  <c r="B68" i="36"/>
  <c r="AI67" i="36"/>
  <c r="AH67" i="36"/>
  <c r="AG67" i="36"/>
  <c r="AI66" i="36"/>
  <c r="AH66" i="36"/>
  <c r="AI65" i="36"/>
  <c r="AH65" i="36"/>
  <c r="AI64" i="36"/>
  <c r="AH64" i="36"/>
  <c r="AI63" i="36"/>
  <c r="AH63" i="36"/>
  <c r="AI62" i="36"/>
  <c r="AH62" i="36"/>
  <c r="AI61" i="36"/>
  <c r="AH61" i="36"/>
  <c r="AI60" i="36"/>
  <c r="AH60" i="36"/>
  <c r="AI59" i="36"/>
  <c r="AH59" i="36"/>
  <c r="AI58" i="36"/>
  <c r="AH58" i="36"/>
  <c r="AI57" i="36"/>
  <c r="AH57" i="36"/>
  <c r="AI56" i="36"/>
  <c r="AH56" i="36"/>
  <c r="AI55" i="36"/>
  <c r="AH55" i="36"/>
  <c r="AI54" i="36"/>
  <c r="AH54" i="36"/>
  <c r="AG54" i="36"/>
  <c r="AF54" i="36"/>
  <c r="AE54" i="36"/>
  <c r="AD54" i="36"/>
  <c r="AC54" i="36"/>
  <c r="AB54" i="36"/>
  <c r="AA54" i="36"/>
  <c r="Z54" i="36"/>
  <c r="Y54" i="36"/>
  <c r="X54" i="36"/>
  <c r="W54" i="36"/>
  <c r="V54" i="36"/>
  <c r="U54" i="36"/>
  <c r="T54" i="36"/>
  <c r="S54" i="36"/>
  <c r="R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C54" i="36"/>
  <c r="B54" i="36"/>
  <c r="AI53" i="36"/>
  <c r="AH53" i="36"/>
  <c r="AI52" i="36"/>
  <c r="AH52" i="36"/>
  <c r="AI51" i="36"/>
  <c r="AH51" i="36"/>
  <c r="AI50" i="36"/>
  <c r="AH50" i="36"/>
  <c r="AG50" i="36"/>
  <c r="AF50" i="36"/>
  <c r="AE50" i="36"/>
  <c r="AD50" i="36"/>
  <c r="AC50" i="36"/>
  <c r="AB50" i="36"/>
  <c r="AA50" i="36"/>
  <c r="Z50" i="36"/>
  <c r="Y50" i="36"/>
  <c r="X50" i="36"/>
  <c r="W50" i="36"/>
  <c r="V50" i="36"/>
  <c r="U50" i="36"/>
  <c r="T50" i="36"/>
  <c r="S50" i="36"/>
  <c r="R50" i="36"/>
  <c r="Q50" i="36"/>
  <c r="P50" i="36"/>
  <c r="O50" i="36"/>
  <c r="N50" i="36"/>
  <c r="M50" i="36"/>
  <c r="L50" i="36"/>
  <c r="K50" i="36"/>
  <c r="J50" i="36"/>
  <c r="I50" i="36"/>
  <c r="H50" i="36"/>
  <c r="G50" i="36"/>
  <c r="F50" i="36"/>
  <c r="E50" i="36"/>
  <c r="D50" i="36"/>
  <c r="C50" i="36"/>
  <c r="B50" i="36"/>
  <c r="AI49" i="36"/>
  <c r="AH49" i="36"/>
  <c r="X49" i="36"/>
  <c r="S49" i="36"/>
  <c r="R49" i="36"/>
  <c r="AI48" i="36"/>
  <c r="AH48" i="36"/>
  <c r="AI47" i="36"/>
  <c r="AH47" i="36"/>
  <c r="AI46" i="36"/>
  <c r="AH46" i="36"/>
  <c r="AI45" i="36"/>
  <c r="AH45" i="36"/>
  <c r="AI44" i="36"/>
  <c r="AH44" i="36"/>
  <c r="AI43" i="36"/>
  <c r="AH43" i="36"/>
  <c r="AI42" i="36"/>
  <c r="AH42" i="36"/>
  <c r="AI41" i="36"/>
  <c r="AH41" i="36"/>
  <c r="AI40" i="36"/>
  <c r="AH40" i="36"/>
  <c r="AI39" i="36"/>
  <c r="AH39" i="36"/>
  <c r="AI38" i="36"/>
  <c r="AH38" i="36"/>
  <c r="AI37" i="36"/>
  <c r="AH37" i="36"/>
  <c r="AI36" i="36"/>
  <c r="AH36" i="36"/>
  <c r="AI35" i="36"/>
  <c r="AH35" i="36"/>
  <c r="AI34" i="36"/>
  <c r="AH34" i="36"/>
  <c r="AI33" i="36"/>
  <c r="AH33" i="36"/>
  <c r="AI32" i="36"/>
  <c r="AH32" i="36"/>
  <c r="AI31" i="36"/>
  <c r="AH31" i="36"/>
  <c r="AI30" i="36"/>
  <c r="AH30" i="36"/>
  <c r="AI29" i="36"/>
  <c r="AH29" i="36"/>
  <c r="AI28" i="36"/>
  <c r="AH28" i="36"/>
  <c r="AI27" i="36"/>
  <c r="AH27" i="36"/>
  <c r="AI26" i="36"/>
  <c r="AH26" i="36"/>
  <c r="AI25" i="36"/>
  <c r="AH25" i="36"/>
  <c r="AI24" i="36"/>
  <c r="AH24" i="36"/>
  <c r="AI23" i="36"/>
  <c r="AH23" i="36"/>
  <c r="AI22" i="36"/>
  <c r="AH22" i="36"/>
  <c r="AI21" i="36"/>
  <c r="AH21" i="36"/>
  <c r="AI20" i="36"/>
  <c r="AH20" i="36"/>
  <c r="AI19" i="36"/>
  <c r="AH19" i="36"/>
  <c r="AI18" i="36"/>
  <c r="AH18" i="36"/>
  <c r="AI17" i="36"/>
  <c r="AH17" i="36"/>
  <c r="AI16" i="36"/>
  <c r="AH16" i="36"/>
  <c r="AI15" i="36"/>
  <c r="AH15" i="36"/>
  <c r="AI14" i="36"/>
  <c r="AH14" i="36"/>
  <c r="AI13" i="36"/>
  <c r="AH13" i="36"/>
  <c r="AI12" i="36"/>
  <c r="AH12" i="36"/>
  <c r="AI11" i="36"/>
  <c r="AH11" i="36"/>
  <c r="AF7" i="36"/>
  <c r="AE7" i="36"/>
  <c r="AD7" i="36"/>
  <c r="AC7" i="36"/>
  <c r="AB7" i="36"/>
  <c r="AA7" i="36"/>
  <c r="Z7" i="36"/>
  <c r="Y7" i="36"/>
  <c r="X7" i="36"/>
  <c r="W7" i="36"/>
  <c r="V7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7" i="36"/>
  <c r="A7" i="36"/>
  <c r="AG6" i="36"/>
  <c r="K6" i="36"/>
  <c r="AF5" i="36"/>
  <c r="AE5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AG4" i="36"/>
  <c r="K4" i="36"/>
  <c r="E4" i="36"/>
  <c r="H4" i="36" s="1"/>
  <c r="B4" i="36"/>
  <c r="S246" i="36" s="1"/>
  <c r="AG3" i="36"/>
  <c r="AG2" i="36"/>
  <c r="AH110" i="80" l="1"/>
  <c r="AF100" i="90"/>
  <c r="AF89" i="90"/>
  <c r="AF91" i="90" s="1"/>
  <c r="AX249" i="90" s="1"/>
  <c r="AE89" i="90"/>
  <c r="AE91" i="90" s="1"/>
  <c r="AE92" i="90" s="1"/>
  <c r="AD89" i="90"/>
  <c r="AD91" i="90" s="1"/>
  <c r="AV249" i="90" s="1"/>
  <c r="AC100" i="90"/>
  <c r="AB5" i="90"/>
  <c r="AC89" i="90"/>
  <c r="AC91" i="90" s="1"/>
  <c r="AC7" i="90" s="1"/>
  <c r="AB100" i="90"/>
  <c r="AB89" i="90"/>
  <c r="AB91" i="90" s="1"/>
  <c r="AB7" i="90" s="1"/>
  <c r="AA5" i="90"/>
  <c r="Q5" i="90"/>
  <c r="Q89" i="90"/>
  <c r="Q91" i="90" s="1"/>
  <c r="Q7" i="90" s="1"/>
  <c r="R89" i="90"/>
  <c r="R91" i="90" s="1"/>
  <c r="R7" i="90" s="1"/>
  <c r="P100" i="90"/>
  <c r="AI72" i="90"/>
  <c r="P89" i="90"/>
  <c r="P91" i="90" s="1"/>
  <c r="P7" i="90" s="1"/>
  <c r="O89" i="90"/>
  <c r="O91" i="90" s="1"/>
  <c r="O7" i="90" s="1"/>
  <c r="N89" i="90"/>
  <c r="N91" i="90" s="1"/>
  <c r="M100" i="90"/>
  <c r="M89" i="90"/>
  <c r="M91" i="90" s="1"/>
  <c r="M92" i="90" s="1"/>
  <c r="AH72" i="90"/>
  <c r="K5" i="90"/>
  <c r="L89" i="90"/>
  <c r="L91" i="90" s="1"/>
  <c r="L7" i="90" s="1"/>
  <c r="K100" i="90"/>
  <c r="K89" i="90"/>
  <c r="K91" i="90" s="1"/>
  <c r="K92" i="90" s="1"/>
  <c r="AH113" i="90"/>
  <c r="J100" i="90"/>
  <c r="I5" i="90"/>
  <c r="J89" i="90"/>
  <c r="J91" i="90" s="1"/>
  <c r="J92" i="90" s="1"/>
  <c r="AI49" i="90"/>
  <c r="I89" i="90"/>
  <c r="I91" i="90" s="1"/>
  <c r="I92" i="90" s="1"/>
  <c r="H89" i="90"/>
  <c r="H91" i="90" s="1"/>
  <c r="F89" i="90"/>
  <c r="F91" i="90" s="1"/>
  <c r="X249" i="90" s="1"/>
  <c r="D5" i="90"/>
  <c r="E89" i="90"/>
  <c r="E91" i="90" s="1"/>
  <c r="E7" i="90" s="1"/>
  <c r="D89" i="90"/>
  <c r="D91" i="90" s="1"/>
  <c r="AI99" i="90"/>
  <c r="C100" i="90"/>
  <c r="AI68" i="90"/>
  <c r="AH54" i="90"/>
  <c r="AH99" i="90"/>
  <c r="AI54" i="90"/>
  <c r="B89" i="90"/>
  <c r="B91" i="90" s="1"/>
  <c r="AI50" i="90"/>
  <c r="D246" i="90"/>
  <c r="H92" i="90"/>
  <c r="H7" i="90"/>
  <c r="Z249" i="90"/>
  <c r="P92" i="90"/>
  <c r="X7" i="90"/>
  <c r="AP249" i="90"/>
  <c r="AA249" i="90"/>
  <c r="Q92" i="90"/>
  <c r="Y7" i="90"/>
  <c r="AQ249" i="90"/>
  <c r="T7" i="90"/>
  <c r="AL249" i="90"/>
  <c r="G229" i="90"/>
  <c r="F110" i="90"/>
  <c r="F235" i="90"/>
  <c r="Z7" i="90"/>
  <c r="AR249" i="90"/>
  <c r="S7" i="90"/>
  <c r="AK249" i="90"/>
  <c r="AA7" i="90"/>
  <c r="AS249" i="90"/>
  <c r="J232" i="90"/>
  <c r="K232" i="90" s="1"/>
  <c r="L232" i="90" s="1"/>
  <c r="M232" i="90" s="1"/>
  <c r="N232" i="90" s="1"/>
  <c r="O232" i="90" s="1"/>
  <c r="P232" i="90" s="1"/>
  <c r="W249" i="90"/>
  <c r="E92" i="90"/>
  <c r="AE249" i="90"/>
  <c r="U7" i="90"/>
  <c r="AM249" i="90"/>
  <c r="O92" i="90"/>
  <c r="AO249" i="90"/>
  <c r="W7" i="90"/>
  <c r="F7" i="90"/>
  <c r="N7" i="90"/>
  <c r="AF249" i="90"/>
  <c r="N92" i="90"/>
  <c r="V7" i="90"/>
  <c r="AN249" i="90"/>
  <c r="D92" i="90"/>
  <c r="D7" i="90"/>
  <c r="V249" i="90"/>
  <c r="AH50" i="90"/>
  <c r="C89" i="90"/>
  <c r="C91" i="90" s="1"/>
  <c r="G100" i="90"/>
  <c r="O100" i="90"/>
  <c r="AE100" i="90"/>
  <c r="E235" i="90"/>
  <c r="I100" i="90"/>
  <c r="Q100" i="90"/>
  <c r="F234" i="90"/>
  <c r="B100" i="90"/>
  <c r="E5" i="90"/>
  <c r="M5" i="90"/>
  <c r="U5" i="90"/>
  <c r="AC5" i="90"/>
  <c r="AH84" i="90"/>
  <c r="G89" i="90"/>
  <c r="G91" i="90" s="1"/>
  <c r="AH68" i="90"/>
  <c r="AI84" i="90"/>
  <c r="B235" i="90"/>
  <c r="AF89" i="89"/>
  <c r="AF91" i="89" s="1"/>
  <c r="AF7" i="89" s="1"/>
  <c r="AE100" i="89"/>
  <c r="AE89" i="89"/>
  <c r="AE91" i="89" s="1"/>
  <c r="AE7" i="89" s="1"/>
  <c r="AD100" i="89"/>
  <c r="AD89" i="89"/>
  <c r="AD91" i="89" s="1"/>
  <c r="AV249" i="89" s="1"/>
  <c r="AA5" i="89"/>
  <c r="AU249" i="89"/>
  <c r="AC92" i="89"/>
  <c r="AC7" i="89"/>
  <c r="AT249" i="89"/>
  <c r="AB7" i="89"/>
  <c r="AB92" i="89"/>
  <c r="AI49" i="89"/>
  <c r="AA100" i="89"/>
  <c r="AA89" i="89"/>
  <c r="AA91" i="89" s="1"/>
  <c r="AA92" i="89" s="1"/>
  <c r="Z89" i="89"/>
  <c r="Z91" i="89" s="1"/>
  <c r="Z92" i="89" s="1"/>
  <c r="Y5" i="89"/>
  <c r="Y100" i="89"/>
  <c r="AI99" i="89"/>
  <c r="Y89" i="89"/>
  <c r="Y91" i="89" s="1"/>
  <c r="Y7" i="89" s="1"/>
  <c r="AI72" i="89"/>
  <c r="X100" i="89"/>
  <c r="X89" i="89"/>
  <c r="X91" i="89" s="1"/>
  <c r="X92" i="89" s="1"/>
  <c r="W5" i="89"/>
  <c r="AR249" i="89"/>
  <c r="AS249" i="89"/>
  <c r="AI54" i="89"/>
  <c r="AH54" i="89"/>
  <c r="AH99" i="89"/>
  <c r="W100" i="89"/>
  <c r="AI84" i="89"/>
  <c r="AH72" i="89"/>
  <c r="AH68" i="89"/>
  <c r="W89" i="89"/>
  <c r="W91" i="89" s="1"/>
  <c r="AO249" i="89" s="1"/>
  <c r="AI110" i="89"/>
  <c r="AI68" i="89"/>
  <c r="S7" i="89"/>
  <c r="AK249" i="89"/>
  <c r="S92" i="89"/>
  <c r="AH50" i="89"/>
  <c r="AL249" i="89"/>
  <c r="T92" i="89"/>
  <c r="T7" i="89"/>
  <c r="U89" i="89"/>
  <c r="U91" i="89" s="1"/>
  <c r="U92" i="89" s="1"/>
  <c r="V100" i="89"/>
  <c r="U5" i="89"/>
  <c r="V89" i="89"/>
  <c r="AH84" i="89"/>
  <c r="AH110" i="89"/>
  <c r="AM249" i="89"/>
  <c r="U7" i="89"/>
  <c r="D246" i="79"/>
  <c r="S246" i="83"/>
  <c r="D246" i="77"/>
  <c r="AI50" i="89"/>
  <c r="D246" i="76"/>
  <c r="D246" i="78"/>
  <c r="S246" i="70"/>
  <c r="D246" i="74"/>
  <c r="D246" i="80"/>
  <c r="D246" i="89"/>
  <c r="D246" i="75"/>
  <c r="S246" i="71"/>
  <c r="S246" i="88"/>
  <c r="D246" i="67"/>
  <c r="D246" i="81"/>
  <c r="D246" i="86"/>
  <c r="D246" i="6"/>
  <c r="S246" i="85"/>
  <c r="D246" i="69"/>
  <c r="D246" i="73"/>
  <c r="D246" i="82"/>
  <c r="D246" i="72"/>
  <c r="D246" i="84"/>
  <c r="D246" i="36"/>
  <c r="D246" i="68"/>
  <c r="AF7" i="90" l="1"/>
  <c r="AF92" i="90"/>
  <c r="AW249" i="90"/>
  <c r="AE7" i="90"/>
  <c r="AD7" i="90"/>
  <c r="AD92" i="90"/>
  <c r="AC92" i="90"/>
  <c r="AU249" i="90"/>
  <c r="AT249" i="90"/>
  <c r="AB92" i="90"/>
  <c r="R92" i="90"/>
  <c r="AI249" i="90"/>
  <c r="AJ249" i="90"/>
  <c r="AH249" i="90"/>
  <c r="AG249" i="90"/>
  <c r="M7" i="90"/>
  <c r="AD249" i="90"/>
  <c r="L92" i="90"/>
  <c r="AC249" i="90"/>
  <c r="K7" i="90"/>
  <c r="AB249" i="90"/>
  <c r="J7" i="90"/>
  <c r="I7" i="90"/>
  <c r="F92" i="90"/>
  <c r="Y249" i="90"/>
  <c r="C244" i="90"/>
  <c r="B244" i="90"/>
  <c r="G92" i="90"/>
  <c r="G7" i="90"/>
  <c r="C92" i="90"/>
  <c r="C7" i="90"/>
  <c r="U249" i="90"/>
  <c r="B92" i="90"/>
  <c r="AI91" i="90"/>
  <c r="AH91" i="90"/>
  <c r="B7" i="90"/>
  <c r="T249" i="90"/>
  <c r="AH89" i="90"/>
  <c r="H229" i="90"/>
  <c r="AI100" i="90"/>
  <c r="AH100" i="90"/>
  <c r="E270" i="90"/>
  <c r="G234" i="90"/>
  <c r="AI89" i="90"/>
  <c r="AX249" i="89"/>
  <c r="AF92" i="89"/>
  <c r="AW249" i="89"/>
  <c r="AE92" i="89"/>
  <c r="AD92" i="89"/>
  <c r="AD7" i="89"/>
  <c r="Y92" i="89"/>
  <c r="AA7" i="89"/>
  <c r="Z7" i="89"/>
  <c r="AQ249" i="89"/>
  <c r="X7" i="89"/>
  <c r="AP249" i="89"/>
  <c r="W7" i="89"/>
  <c r="W92" i="89"/>
  <c r="AI89" i="89"/>
  <c r="AH89" i="89"/>
  <c r="V91" i="89"/>
  <c r="V7" i="89" s="1"/>
  <c r="A7" i="89" s="1"/>
  <c r="AH100" i="89"/>
  <c r="AI100" i="89"/>
  <c r="K6" i="90" l="1"/>
  <c r="I229" i="90"/>
  <c r="H110" i="90"/>
  <c r="F270" i="90"/>
  <c r="H234" i="90"/>
  <c r="A7" i="90"/>
  <c r="G235" i="90"/>
  <c r="AI92" i="90"/>
  <c r="AH92" i="90"/>
  <c r="G110" i="90"/>
  <c r="AN249" i="89"/>
  <c r="AI91" i="89"/>
  <c r="AH91" i="89"/>
  <c r="V92" i="89"/>
  <c r="AI92" i="89"/>
  <c r="AH92" i="89"/>
  <c r="G270" i="90" l="1"/>
  <c r="I234" i="90"/>
  <c r="H235" i="90"/>
  <c r="I110" i="90"/>
  <c r="J229" i="90"/>
  <c r="K229" i="90" l="1"/>
  <c r="H270" i="90"/>
  <c r="J234" i="90"/>
  <c r="K234" i="90" l="1"/>
  <c r="I270" i="90"/>
  <c r="K110" i="90"/>
  <c r="L229" i="90"/>
  <c r="J110" i="90"/>
  <c r="M229" i="90" l="1"/>
  <c r="L110" i="90"/>
  <c r="J270" i="90"/>
  <c r="L234" i="90"/>
  <c r="K270" i="90" l="1"/>
  <c r="M234" i="90"/>
  <c r="N229" i="90"/>
  <c r="O229" i="90" l="1"/>
  <c r="L270" i="90"/>
  <c r="N234" i="90"/>
  <c r="M270" i="90" l="1"/>
  <c r="O234" i="90"/>
  <c r="N110" i="90"/>
  <c r="P229" i="90"/>
  <c r="O110" i="90"/>
  <c r="N270" i="90" l="1"/>
  <c r="P234" i="90"/>
  <c r="O270" i="90" s="1"/>
  <c r="AH110" i="90"/>
  <c r="AI110" i="90"/>
  <c r="P235" i="77" l="1"/>
  <c r="P231" i="77"/>
  <c r="K235" i="81"/>
  <c r="P235" i="36"/>
  <c r="P231" i="36"/>
  <c r="M235" i="76"/>
  <c r="K235" i="98"/>
  <c r="K235" i="82"/>
  <c r="K235" i="77"/>
  <c r="J235" i="82"/>
  <c r="M235" i="89"/>
  <c r="P235" i="83"/>
  <c r="P231" i="83"/>
  <c r="P235" i="90"/>
  <c r="P231" i="90"/>
  <c r="M235" i="67"/>
  <c r="P235" i="95"/>
  <c r="P231" i="95"/>
  <c r="P235" i="91"/>
  <c r="P231" i="91"/>
  <c r="K235" i="94"/>
  <c r="O235" i="70"/>
  <c r="P235" i="88"/>
  <c r="P231" i="88"/>
  <c r="P235" i="79"/>
  <c r="P231" i="79"/>
  <c r="P235" i="84"/>
  <c r="P231" i="84"/>
  <c r="L235" i="77"/>
  <c r="J235" i="84"/>
  <c r="L235" i="86"/>
  <c r="K235" i="79"/>
  <c r="O235" i="86"/>
  <c r="P235" i="72"/>
  <c r="P231" i="72"/>
  <c r="O231" i="86"/>
  <c r="P231" i="86"/>
  <c r="P235" i="86"/>
  <c r="L235" i="76"/>
  <c r="O231" i="83"/>
  <c r="O235" i="83"/>
  <c r="M235" i="36"/>
  <c r="N235" i="93"/>
  <c r="L235" i="72"/>
  <c r="M235" i="73"/>
  <c r="M235" i="75"/>
  <c r="O231" i="70"/>
  <c r="P231" i="70"/>
  <c r="P235" i="70"/>
  <c r="P235" i="6"/>
  <c r="P231" i="6"/>
  <c r="P235" i="89"/>
  <c r="P231" i="89"/>
  <c r="O235" i="97"/>
  <c r="K235" i="80"/>
  <c r="J235" i="93"/>
  <c r="N235" i="92"/>
  <c r="O235" i="93"/>
  <c r="O231" i="6"/>
  <c r="O235" i="6"/>
  <c r="J235" i="83"/>
  <c r="N235" i="81"/>
  <c r="O235" i="82"/>
  <c r="O231" i="97"/>
  <c r="P231" i="97"/>
  <c r="P235" i="97"/>
  <c r="M235" i="86"/>
  <c r="N235" i="73"/>
  <c r="K235" i="75"/>
  <c r="N231" i="70"/>
  <c r="N235" i="70"/>
  <c r="P235" i="80"/>
  <c r="P231" i="80"/>
  <c r="N235" i="68"/>
  <c r="J235" i="67"/>
  <c r="L235" i="71"/>
  <c r="N235" i="79"/>
  <c r="K235" i="6"/>
  <c r="P235" i="96"/>
  <c r="P231" i="96"/>
  <c r="L235" i="84"/>
  <c r="O231" i="89"/>
  <c r="O235" i="89"/>
  <c r="J235" i="75"/>
  <c r="N235" i="96"/>
  <c r="M235" i="83"/>
  <c r="M235" i="77"/>
  <c r="K235" i="88"/>
  <c r="M231" i="70"/>
  <c r="M235" i="70"/>
  <c r="L235" i="68"/>
  <c r="K235" i="36"/>
  <c r="O235" i="78"/>
  <c r="N235" i="72"/>
  <c r="M235" i="92"/>
  <c r="K235" i="67"/>
  <c r="N235" i="84"/>
  <c r="N235" i="88"/>
  <c r="K235" i="91"/>
  <c r="N231" i="93"/>
  <c r="O231" i="93"/>
  <c r="P231" i="93"/>
  <c r="P235" i="93"/>
  <c r="P235" i="68"/>
  <c r="P231" i="68"/>
  <c r="N231" i="6"/>
  <c r="N235" i="6"/>
  <c r="M235" i="90"/>
  <c r="M235" i="81"/>
  <c r="O231" i="82"/>
  <c r="P231" i="82"/>
  <c r="P235" i="82"/>
  <c r="P235" i="67"/>
  <c r="P231" i="67"/>
  <c r="L235" i="69"/>
  <c r="L235" i="78"/>
  <c r="J235" i="85"/>
  <c r="N235" i="36"/>
  <c r="L235" i="73"/>
  <c r="P235" i="74"/>
  <c r="P231" i="74"/>
  <c r="L235" i="67"/>
  <c r="L235" i="93"/>
  <c r="O231" i="80"/>
  <c r="O235" i="80"/>
  <c r="J235" i="95"/>
  <c r="L235" i="74"/>
  <c r="M235" i="68"/>
  <c r="M235" i="79"/>
  <c r="M235" i="71"/>
  <c r="M235" i="82"/>
  <c r="J235" i="97"/>
  <c r="L235" i="98"/>
  <c r="M231" i="89"/>
  <c r="N231" i="89"/>
  <c r="N235" i="89"/>
  <c r="O231" i="78"/>
  <c r="P231" i="78"/>
  <c r="P235" i="78"/>
  <c r="N235" i="76"/>
  <c r="L231" i="70"/>
  <c r="L235" i="70"/>
  <c r="M235" i="91"/>
  <c r="L235" i="88"/>
  <c r="K235" i="78"/>
  <c r="L235" i="81"/>
  <c r="J235" i="73"/>
  <c r="O231" i="77"/>
  <c r="O235" i="77"/>
  <c r="M231" i="36"/>
  <c r="N231" i="36"/>
  <c r="O231" i="36"/>
  <c r="O235" i="36"/>
  <c r="N235" i="74"/>
  <c r="P235" i="98"/>
  <c r="P231" i="98"/>
  <c r="O235" i="92"/>
  <c r="M235" i="72"/>
  <c r="J235" i="80"/>
  <c r="J235" i="6"/>
  <c r="M235" i="98"/>
  <c r="J235" i="74"/>
  <c r="M235" i="74"/>
  <c r="J235" i="86"/>
  <c r="P235" i="94"/>
  <c r="P231" i="94"/>
  <c r="K235" i="68"/>
  <c r="J235" i="94"/>
  <c r="K235" i="86"/>
  <c r="M235" i="85"/>
  <c r="P235" i="75"/>
  <c r="P231" i="75"/>
  <c r="L231" i="93"/>
  <c r="M231" i="93"/>
  <c r="M235" i="93"/>
  <c r="J235" i="72"/>
  <c r="O231" i="98"/>
  <c r="O235" i="98"/>
  <c r="K235" i="97"/>
  <c r="J235" i="36"/>
  <c r="N231" i="97"/>
  <c r="N235" i="97"/>
  <c r="N235" i="90"/>
  <c r="J235" i="92"/>
  <c r="M231" i="6"/>
  <c r="M235" i="6"/>
  <c r="M235" i="69"/>
  <c r="J235" i="71"/>
  <c r="P235" i="81"/>
  <c r="P231" i="81"/>
  <c r="P235" i="69"/>
  <c r="P231" i="69"/>
  <c r="M231" i="92"/>
  <c r="N231" i="92"/>
  <c r="O231" i="92"/>
  <c r="P231" i="92"/>
  <c r="P235" i="92"/>
  <c r="O231" i="67"/>
  <c r="O235" i="67"/>
  <c r="L235" i="85"/>
  <c r="L235" i="90"/>
  <c r="K235" i="89"/>
  <c r="L235" i="83"/>
  <c r="J235" i="98"/>
  <c r="M231" i="97"/>
  <c r="M235" i="97"/>
  <c r="O231" i="75"/>
  <c r="O235" i="75"/>
  <c r="O235" i="71"/>
  <c r="J235" i="70"/>
  <c r="M231" i="82"/>
  <c r="N231" i="82"/>
  <c r="N235" i="82"/>
  <c r="J235" i="88"/>
  <c r="K231" i="89"/>
  <c r="L231" i="89"/>
  <c r="L235" i="89"/>
  <c r="O231" i="69"/>
  <c r="O235" i="69"/>
  <c r="K235" i="72"/>
  <c r="O235" i="85"/>
  <c r="I235" i="70"/>
  <c r="I231" i="70"/>
  <c r="J231" i="70"/>
  <c r="K231" i="70"/>
  <c r="K235" i="70"/>
  <c r="N231" i="78"/>
  <c r="N235" i="78"/>
  <c r="L235" i="80"/>
  <c r="N235" i="91"/>
  <c r="I235" i="98"/>
  <c r="I231" i="98"/>
  <c r="J231" i="98"/>
  <c r="K231" i="98"/>
  <c r="L231" i="98"/>
  <c r="M231" i="98"/>
  <c r="N231" i="98"/>
  <c r="N235" i="98"/>
  <c r="O231" i="95"/>
  <c r="O235" i="95"/>
  <c r="L231" i="74"/>
  <c r="M231" i="74"/>
  <c r="N231" i="74"/>
  <c r="O231" i="74"/>
  <c r="O235" i="74"/>
  <c r="M235" i="95"/>
  <c r="N231" i="80"/>
  <c r="N235" i="80"/>
  <c r="J235" i="69"/>
  <c r="P235" i="73"/>
  <c r="P231" i="73"/>
  <c r="L235" i="91"/>
  <c r="L231" i="83"/>
  <c r="M231" i="83"/>
  <c r="N231" i="83"/>
  <c r="N235" i="83"/>
  <c r="L235" i="95"/>
  <c r="N235" i="94"/>
  <c r="I235" i="6"/>
  <c r="I231" i="6"/>
  <c r="J231" i="6"/>
  <c r="K231" i="6"/>
  <c r="L231" i="6"/>
  <c r="L235" i="6"/>
  <c r="N231" i="96"/>
  <c r="O231" i="96"/>
  <c r="O235" i="96"/>
  <c r="I235" i="74"/>
  <c r="I231" i="74"/>
  <c r="J231" i="74"/>
  <c r="K231" i="74"/>
  <c r="K235" i="74"/>
  <c r="J235" i="81"/>
  <c r="O231" i="71"/>
  <c r="P231" i="71"/>
  <c r="P235" i="71"/>
  <c r="I235" i="80"/>
  <c r="I231" i="80"/>
  <c r="J231" i="80"/>
  <c r="K231" i="80"/>
  <c r="L231" i="80"/>
  <c r="M231" i="80"/>
  <c r="M235" i="80"/>
  <c r="L235" i="75"/>
  <c r="L235" i="79"/>
  <c r="M231" i="96"/>
  <c r="M235" i="96"/>
  <c r="K235" i="95"/>
  <c r="K235" i="85"/>
  <c r="J235" i="68"/>
  <c r="J235" i="79"/>
  <c r="I235" i="89"/>
  <c r="I231" i="89"/>
  <c r="J231" i="89"/>
  <c r="J235" i="89"/>
  <c r="K235" i="69"/>
  <c r="L231" i="92"/>
  <c r="L235" i="92"/>
  <c r="K231" i="77"/>
  <c r="L231" i="77"/>
  <c r="M231" i="77"/>
  <c r="N231" i="77"/>
  <c r="N235" i="77"/>
  <c r="I235" i="93"/>
  <c r="I231" i="93"/>
  <c r="J231" i="93"/>
  <c r="K231" i="93"/>
  <c r="K235" i="93"/>
  <c r="J235" i="91"/>
  <c r="K235" i="71"/>
  <c r="J235" i="78"/>
  <c r="L231" i="96"/>
  <c r="L235" i="96"/>
  <c r="K235" i="76"/>
  <c r="I235" i="83"/>
  <c r="I231" i="83"/>
  <c r="J231" i="83"/>
  <c r="K231" i="83"/>
  <c r="K235" i="83"/>
  <c r="I235" i="86"/>
  <c r="I231" i="86"/>
  <c r="J231" i="86"/>
  <c r="K231" i="86"/>
  <c r="L231" i="86"/>
  <c r="M231" i="86"/>
  <c r="N231" i="86"/>
  <c r="N235" i="86"/>
  <c r="K235" i="90"/>
  <c r="N235" i="85"/>
  <c r="I235" i="97"/>
  <c r="I231" i="97"/>
  <c r="J231" i="97"/>
  <c r="K231" i="97"/>
  <c r="L231" i="97"/>
  <c r="L235" i="97"/>
  <c r="I235" i="75"/>
  <c r="I231" i="75"/>
  <c r="J231" i="75"/>
  <c r="K231" i="75"/>
  <c r="L231" i="75"/>
  <c r="M231" i="75"/>
  <c r="N231" i="75"/>
  <c r="N235" i="75"/>
  <c r="I235" i="78"/>
  <c r="I231" i="78"/>
  <c r="J231" i="78"/>
  <c r="K231" i="78"/>
  <c r="L231" i="78"/>
  <c r="M231" i="78"/>
  <c r="M235" i="78"/>
  <c r="I235" i="71"/>
  <c r="I231" i="71"/>
  <c r="J231" i="71"/>
  <c r="K231" i="71"/>
  <c r="L231" i="71"/>
  <c r="M231" i="71"/>
  <c r="N231" i="71"/>
  <c r="N235" i="71"/>
  <c r="I235" i="82"/>
  <c r="I231" i="82"/>
  <c r="J231" i="82"/>
  <c r="K231" i="82"/>
  <c r="L231" i="82"/>
  <c r="L235" i="82"/>
  <c r="K235" i="84"/>
  <c r="K231" i="90"/>
  <c r="L231" i="90"/>
  <c r="M231" i="90"/>
  <c r="N231" i="90"/>
  <c r="O231" i="90"/>
  <c r="O235" i="90"/>
  <c r="I235" i="69"/>
  <c r="I231" i="69"/>
  <c r="J231" i="69"/>
  <c r="K231" i="69"/>
  <c r="L231" i="69"/>
  <c r="M231" i="69"/>
  <c r="N231" i="69"/>
  <c r="N235" i="69"/>
  <c r="I235" i="90"/>
  <c r="I231" i="90"/>
  <c r="J231" i="90"/>
  <c r="J235" i="90"/>
  <c r="I235" i="85"/>
  <c r="I231" i="85"/>
  <c r="J231" i="85"/>
  <c r="K231" i="85"/>
  <c r="L231" i="85"/>
  <c r="M231" i="85"/>
  <c r="N231" i="85"/>
  <c r="O231" i="85"/>
  <c r="P231" i="85"/>
  <c r="P235" i="85"/>
  <c r="I235" i="95"/>
  <c r="I231" i="95"/>
  <c r="J231" i="95"/>
  <c r="K231" i="95"/>
  <c r="L231" i="95"/>
  <c r="M231" i="95"/>
  <c r="N231" i="95"/>
  <c r="N235" i="95"/>
  <c r="O235" i="76"/>
  <c r="I235" i="67"/>
  <c r="I231" i="67"/>
  <c r="J231" i="67"/>
  <c r="K231" i="67"/>
  <c r="L231" i="67"/>
  <c r="M231" i="67"/>
  <c r="N231" i="67"/>
  <c r="N235" i="67"/>
  <c r="I235" i="36"/>
  <c r="I231" i="36"/>
  <c r="J231" i="36"/>
  <c r="K231" i="36"/>
  <c r="L231" i="36"/>
  <c r="L235" i="36"/>
  <c r="I235" i="77"/>
  <c r="I231" i="77"/>
  <c r="J231" i="77"/>
  <c r="J235" i="77"/>
  <c r="J235" i="96"/>
  <c r="M235" i="84"/>
  <c r="K231" i="76"/>
  <c r="L231" i="76"/>
  <c r="M231" i="76"/>
  <c r="N231" i="76"/>
  <c r="O231" i="76"/>
  <c r="P231" i="76"/>
  <c r="P235" i="76"/>
  <c r="I235" i="91"/>
  <c r="I231" i="91"/>
  <c r="J231" i="91"/>
  <c r="K231" i="91"/>
  <c r="L231" i="91"/>
  <c r="M231" i="91"/>
  <c r="N231" i="91"/>
  <c r="O231" i="91"/>
  <c r="O235" i="91"/>
  <c r="I235" i="96"/>
  <c r="I231" i="96"/>
  <c r="J231" i="96"/>
  <c r="K231" i="96"/>
  <c r="K235" i="96"/>
  <c r="I235" i="72"/>
  <c r="I231" i="72"/>
  <c r="J231" i="72"/>
  <c r="K231" i="72"/>
  <c r="L231" i="72"/>
  <c r="M231" i="72"/>
  <c r="N231" i="72"/>
  <c r="O231" i="72"/>
  <c r="O235" i="72"/>
  <c r="M235" i="88"/>
  <c r="L235" i="94"/>
  <c r="L231" i="73"/>
  <c r="M231" i="73"/>
  <c r="N231" i="73"/>
  <c r="O231" i="73"/>
  <c r="O235" i="73"/>
  <c r="I235" i="76"/>
  <c r="I231" i="76"/>
  <c r="J231" i="76"/>
  <c r="J235" i="76"/>
  <c r="I235" i="68"/>
  <c r="I231" i="68"/>
  <c r="J231" i="68"/>
  <c r="K231" i="68"/>
  <c r="L231" i="68"/>
  <c r="M231" i="68"/>
  <c r="N231" i="68"/>
  <c r="O231" i="68"/>
  <c r="O235" i="68"/>
  <c r="M235" i="94"/>
  <c r="I235" i="88"/>
  <c r="I231" i="88"/>
  <c r="J231" i="88"/>
  <c r="K231" i="88"/>
  <c r="L231" i="88"/>
  <c r="M231" i="88"/>
  <c r="N231" i="88"/>
  <c r="O231" i="88"/>
  <c r="O235" i="88"/>
  <c r="I235" i="92"/>
  <c r="I231" i="92"/>
  <c r="J231" i="92"/>
  <c r="K231" i="92"/>
  <c r="K235" i="92"/>
  <c r="I235" i="94"/>
  <c r="I231" i="94"/>
  <c r="J231" i="94"/>
  <c r="K231" i="94"/>
  <c r="L231" i="94"/>
  <c r="M231" i="94"/>
  <c r="N231" i="94"/>
  <c r="O231" i="94"/>
  <c r="O235" i="94"/>
  <c r="I235" i="81"/>
  <c r="I231" i="81"/>
  <c r="J231" i="81"/>
  <c r="K231" i="81"/>
  <c r="L231" i="81"/>
  <c r="M231" i="81"/>
  <c r="N231" i="81"/>
  <c r="O231" i="81"/>
  <c r="O235" i="81"/>
  <c r="I235" i="79"/>
  <c r="I231" i="79"/>
  <c r="J231" i="79"/>
  <c r="K231" i="79"/>
  <c r="L231" i="79"/>
  <c r="M231" i="79"/>
  <c r="N231" i="79"/>
  <c r="O231" i="79"/>
  <c r="O235" i="79"/>
  <c r="I235" i="84"/>
  <c r="I231" i="84"/>
  <c r="J231" i="84"/>
  <c r="K231" i="84"/>
  <c r="L231" i="84"/>
  <c r="M231" i="84"/>
  <c r="N231" i="84"/>
  <c r="O231" i="84"/>
  <c r="O235" i="84"/>
  <c r="I235" i="73"/>
  <c r="I231" i="73"/>
  <c r="J231" i="73"/>
  <c r="K231" i="73"/>
  <c r="K235" i="7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B37291D3-18F2-4F10-9182-8B259C7FE037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703DBA8A-9FDF-47CC-A8CE-8325B0F2152A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971FB62B-C8F6-417C-9D1A-F267A13D2176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11A22155-B6AC-4BFF-98ED-CFF5022EBD56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0105C831-9A38-456C-847E-BE4DC3B57202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5E9E2BB3-AA64-473D-B43E-29B597A089FD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08EBC255-5149-43AA-AA0E-FDAD155167EF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175D57FC-F823-490B-B3BF-F8085E0B9498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2E997F47-97BE-464B-84A9-79E206F79D24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4E66628B-6BE8-4597-B2DD-BCCDB61AEC20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EB8B3234-B9BD-42DC-B41B-130B904DEAE0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7A1C123F-5E86-42F4-8C9E-48AA6397EC75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F68BD3F9-61EF-4B50-AD12-6716E22D11D5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DAB3FA25-9613-4B35-8433-EBDEE606FB7B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7375E1C2-25D9-47C1-BD0C-000471E69F0C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B533BAF6-0D61-401E-A5A9-221CE6A8F561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56EC7F39-3125-4A91-A7BB-492A9BB0CC2B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FB3A73BC-2FE4-4728-B034-92B699D9DC71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980B54DE-EB6C-4AF0-BE1E-AF21D9590FD8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41DF7107-B474-4961-80DD-341604268025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0C93D8D9-4CE0-4E2A-83C8-8B5C345CECBC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6FD8D744-DFA7-44E8-8924-8C7F934AA31B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FFA9E678-3B6D-4CDC-980E-37F0CEA9C448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3734D72D-A44D-4548-B237-01999D70393C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6E5F3BB5-1C31-4DF6-AB44-48F5A389EE22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8D4B98D9-72D2-4C76-AB6C-A81EF3148AC0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DD1CBEA9-B463-45AD-B0D3-B014E10CFB61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034A9D7D-8BDB-4A51-A05C-6459DE473BC1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DC0501AB-DD3E-4014-83DB-D063B966FE67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B75F165A-3551-4A0E-BABA-58E0F89ABB90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978561B8-8132-4A49-B135-1C2A3C9402F2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DEA324FC-E13B-45BC-B8B5-A214DA6E7614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E74FFC46-50A1-40A7-9313-E5484E2E5EF5}">
      <text>
        <r>
          <rPr>
            <b/>
            <sz val="9"/>
            <color indexed="81"/>
            <rFont val="Tahoma"/>
            <family val="2"/>
          </rPr>
          <t xml:space="preserve">Load Supply Group
</t>
        </r>
      </text>
    </comment>
  </commentList>
</comments>
</file>

<file path=xl/sharedStrings.xml><?xml version="1.0" encoding="utf-8"?>
<sst xmlns="http://schemas.openxmlformats.org/spreadsheetml/2006/main" count="9077" uniqueCount="345">
  <si>
    <t xml:space="preserve">LOAD DISPATCH  CENTRE,  NEPAL   ELECTRICITY   AUTHORITY
DAILY SYSTEM OPERATION LOG  FOR INPS </t>
  </si>
  <si>
    <t>Installed Capacity (MW)</t>
  </si>
  <si>
    <t>Bhai</t>
  </si>
  <si>
    <t>Sim</t>
  </si>
  <si>
    <t>Ktm</t>
  </si>
  <si>
    <t>Brt</t>
  </si>
  <si>
    <t>Rainfall</t>
  </si>
  <si>
    <t>IPP</t>
  </si>
  <si>
    <t>* other ipp reduced to 210 due to addition of rudi khola a in log sheet</t>
  </si>
  <si>
    <t>llkkjmj</t>
  </si>
  <si>
    <t>NEA RoR</t>
  </si>
  <si>
    <t>Nepali Date:</t>
  </si>
  <si>
    <t>NEA Storage</t>
  </si>
  <si>
    <t>Total Hydro</t>
  </si>
  <si>
    <t>Night Shift(Contd..)</t>
  </si>
  <si>
    <t>Morning Shift</t>
  </si>
  <si>
    <t>Day Shift</t>
  </si>
  <si>
    <t>Night Shift</t>
  </si>
  <si>
    <t xml:space="preserve">                              Hrs.               Source</t>
  </si>
  <si>
    <t>Solu Khola Dudhkoshi(86)</t>
  </si>
  <si>
    <t>Super Dordi (54)</t>
  </si>
  <si>
    <t>Likhu-IV(52.4)</t>
  </si>
  <si>
    <t>Upper Marsyangdi "A"(50)</t>
  </si>
  <si>
    <t>Upper Bhotekoshi Khola(45)</t>
  </si>
  <si>
    <t>Super Madi ( 44 )</t>
  </si>
  <si>
    <t>Mistri Khola(42)</t>
  </si>
  <si>
    <t>Upper Kalanga Gad(38.46)</t>
  </si>
  <si>
    <t>Upper Balefi (36)</t>
  </si>
  <si>
    <t>Nyadi(30)</t>
  </si>
  <si>
    <t>Likhu Khola A(29.04)</t>
  </si>
  <si>
    <t>Lower Likhu(28)</t>
  </si>
  <si>
    <t>Dordi(27)</t>
  </si>
  <si>
    <t>Upper Madi(25)</t>
  </si>
  <si>
    <t>Kabeli B-1(25)</t>
  </si>
  <si>
    <t>Singati Khola(25)</t>
  </si>
  <si>
    <t>Upper Dordi (25)</t>
  </si>
  <si>
    <t>Solu Khola(23.5)</t>
  </si>
  <si>
    <t>Upper Chaku A(22.2)</t>
  </si>
  <si>
    <t>Tallo Hewa Khola(22.1)</t>
  </si>
  <si>
    <t xml:space="preserve"> Sanima Mai Khola(22)</t>
  </si>
  <si>
    <t>Bagmati Khola Small(22)</t>
  </si>
  <si>
    <t>Lower Modi (20)</t>
  </si>
  <si>
    <t>Middle Modi (18)</t>
  </si>
  <si>
    <t>Kalanga Gad(15.33)</t>
  </si>
  <si>
    <t>Hewa Khola A(14.9)</t>
  </si>
  <si>
    <t>Thapa Khola(13.6)</t>
  </si>
  <si>
    <t>Madkyu Khola(13)</t>
  </si>
  <si>
    <t>Dordi12)</t>
  </si>
  <si>
    <t>Jhimruk Khola(12)</t>
  </si>
  <si>
    <t>Upper Khimti(12)</t>
  </si>
  <si>
    <t>Upper Mai Khola (12)</t>
  </si>
  <si>
    <t>Namarjun Madi(11.88)</t>
  </si>
  <si>
    <t>Lower Khare(11)</t>
  </si>
  <si>
    <t>Lower Modi 1(10)</t>
  </si>
  <si>
    <t>Makari Gad(10.0)</t>
  </si>
  <si>
    <t>Mithila Solar PV Electric Project(10)</t>
  </si>
  <si>
    <t>Other IPP Total</t>
  </si>
  <si>
    <t>Kabeli Corridor</t>
  </si>
  <si>
    <t>Total IPP</t>
  </si>
  <si>
    <t>Upper Tamakoshi(456)</t>
  </si>
  <si>
    <t>Khimti Khola(60)</t>
  </si>
  <si>
    <t>Chilime(22.1)</t>
  </si>
  <si>
    <t>Total NEA SUBSIDIARIES</t>
  </si>
  <si>
    <t>KGA(144)</t>
  </si>
  <si>
    <t>Middle MRS(70)</t>
  </si>
  <si>
    <t>MRS(69)</t>
  </si>
  <si>
    <t>U Trisuli 3A(60)</t>
  </si>
  <si>
    <t>CHM(30)</t>
  </si>
  <si>
    <t>NEA  SOLAR(25)</t>
  </si>
  <si>
    <t>TRI(24)</t>
  </si>
  <si>
    <t>GDK(15)</t>
  </si>
  <si>
    <t>DEVI(14.1)</t>
  </si>
  <si>
    <t>MODI(14)</t>
  </si>
  <si>
    <t>SUN(10.05)</t>
  </si>
  <si>
    <t>PUWA(6.2)</t>
  </si>
  <si>
    <t>Other NEA Small</t>
  </si>
  <si>
    <t>Total ROR</t>
  </si>
  <si>
    <t>KL1(60)</t>
  </si>
  <si>
    <t>KL2(32)</t>
  </si>
  <si>
    <t>KL3(14)</t>
  </si>
  <si>
    <t>Total STORGE</t>
  </si>
  <si>
    <t>TANAKPUR</t>
  </si>
  <si>
    <t>KATAIYA</t>
  </si>
  <si>
    <t>MUJAFFARPUR</t>
  </si>
  <si>
    <t>RAMNAGAR</t>
  </si>
  <si>
    <t>RAXAUL 132</t>
  </si>
  <si>
    <t>NANPARA(33kV)</t>
  </si>
  <si>
    <t>BISHANPUR(33kV)</t>
  </si>
  <si>
    <t xml:space="preserve">UTK Discharge Test </t>
  </si>
  <si>
    <t>JALESHWOR(33kV)</t>
  </si>
  <si>
    <t>RAJBIRAJ(33kV)</t>
  </si>
  <si>
    <t>Line1</t>
  </si>
  <si>
    <t>RAXAUL(33kV)</t>
  </si>
  <si>
    <t>Line 2</t>
  </si>
  <si>
    <t>OTHERS IMPORT</t>
  </si>
  <si>
    <t>Total IMPORT</t>
  </si>
  <si>
    <t>MULTI F(39)</t>
  </si>
  <si>
    <t>HTD DIE(14.41)</t>
  </si>
  <si>
    <t>MRS DI()</t>
  </si>
  <si>
    <t>Total THERMAL</t>
  </si>
  <si>
    <t>TOTAL SYSTEM LOAD (ACTUAL)</t>
  </si>
  <si>
    <t>Interruption/Tripping</t>
  </si>
  <si>
    <t>TOTAL SYSTEM LOAD (EXPECTED)</t>
  </si>
  <si>
    <t>TOTAL NATIONAL LOAD (ACTUAL)</t>
  </si>
  <si>
    <t>RAXAUL</t>
  </si>
  <si>
    <t>MUZAFFARPUR</t>
  </si>
  <si>
    <t>OTHERS EXPORT</t>
  </si>
  <si>
    <t>Total EXPORT</t>
  </si>
  <si>
    <t>NET IMPORT</t>
  </si>
  <si>
    <t>HZ</t>
  </si>
  <si>
    <t>HTD 132KV</t>
  </si>
  <si>
    <t xml:space="preserve">SUI 132KV </t>
  </si>
  <si>
    <t xml:space="preserve">DUBI 132KV </t>
  </si>
  <si>
    <t xml:space="preserve">ANAMANI 132KV </t>
  </si>
  <si>
    <t xml:space="preserve">KG-A 132KV </t>
  </si>
  <si>
    <t xml:space="preserve">KOHALPUR 132KV </t>
  </si>
  <si>
    <t xml:space="preserve">SUI 66KV </t>
  </si>
  <si>
    <t/>
  </si>
  <si>
    <t>Kathmandu Load</t>
  </si>
  <si>
    <t>MRS-SYU</t>
  </si>
  <si>
    <t>NMRS-MATA</t>
  </si>
  <si>
    <t>KL2-MATA</t>
  </si>
  <si>
    <t>KL1-SYU</t>
  </si>
  <si>
    <t>KHIMTI-LAMOSAGU</t>
  </si>
  <si>
    <t>DHALKE-CHAPUR I</t>
  </si>
  <si>
    <t>NBHARATPUR-BARDGHAT</t>
  </si>
  <si>
    <t>DAMAK-DUHABI</t>
  </si>
  <si>
    <t>Hetauda-Kamane</t>
  </si>
  <si>
    <t>DHALKE-MIRCHAIYA</t>
  </si>
  <si>
    <t>Others IPP Detail</t>
  </si>
  <si>
    <t>Upper Mai Khola(9.98)</t>
  </si>
  <si>
    <t>Kabeli B-1 Cascade(9.94)</t>
  </si>
  <si>
    <t>Iwa Khola(9.9)</t>
  </si>
  <si>
    <t>Sipring Khola(9.658)</t>
  </si>
  <si>
    <t>Super Mai 'A' (9.6)</t>
  </si>
  <si>
    <t>Mai Beni(9.51)</t>
  </si>
  <si>
    <t>Andhi Khola(9.4)</t>
  </si>
  <si>
    <t>Rudi Khola A(8.8)</t>
  </si>
  <si>
    <t>Naugadh gad Khola(8.5)</t>
  </si>
  <si>
    <t>Butwal Solar Project(8.5)</t>
  </si>
  <si>
    <t>Upper Hewa Khola Small(8.5)</t>
  </si>
  <si>
    <t>Ankhu Khola - 1(8.4)</t>
  </si>
  <si>
    <t>Mai sana Cascade(8)</t>
  </si>
  <si>
    <t>Upper Naugad Gad(8)</t>
  </si>
  <si>
    <t>Taksar Pikhuwa(8)</t>
  </si>
  <si>
    <t>Super Mai(7.8)</t>
  </si>
  <si>
    <t>Jogmai(7.6)</t>
  </si>
  <si>
    <t>Indrawati - III (7.5)</t>
  </si>
  <si>
    <t>Upper Khorunga(7.5)</t>
  </si>
  <si>
    <t>Mai Cascade(7)</t>
  </si>
  <si>
    <t>Molung Khola(7)</t>
  </si>
  <si>
    <t>Upper Mardi(7)</t>
  </si>
  <si>
    <t>Upper Khimti II(7)</t>
  </si>
  <si>
    <t>Rudi Khola B(6.6)</t>
  </si>
  <si>
    <t>Sapsup Khola(6.6)</t>
  </si>
  <si>
    <t>Suri Khola(6.4)</t>
  </si>
  <si>
    <t>Lower Jogmai(6.2)</t>
  </si>
  <si>
    <t>Daraudi Khola A(6)</t>
  </si>
  <si>
    <t>Upper Mai C(5.1)</t>
  </si>
  <si>
    <t>Tadi Khola (Thaprek)(5)</t>
  </si>
  <si>
    <t>Mailung Khola(5)</t>
  </si>
  <si>
    <t>Upper Hugdi Khola(5)</t>
  </si>
  <si>
    <t>Pikhuwa Khola(5)</t>
  </si>
  <si>
    <t>Ghalemdi Khola(5)</t>
  </si>
  <si>
    <t>Ghatte Khola(5)</t>
  </si>
  <si>
    <t>Belchautara Solar Project(5)</t>
  </si>
  <si>
    <t>Lower Tadi(4.993)</t>
  </si>
  <si>
    <t>Richet Khola(4.98)</t>
  </si>
  <si>
    <t>Siuri Khola(4.95)</t>
  </si>
  <si>
    <t>Phawa Khola(4.95)</t>
  </si>
  <si>
    <t>Mardi Khola(4.8)</t>
  </si>
  <si>
    <t>Padam Khola(4.8)</t>
  </si>
  <si>
    <t>Mai Khola(4.5)</t>
  </si>
  <si>
    <t>Bijayapur 2 Khola Small(4.5)</t>
  </si>
  <si>
    <t>Hewa Khola(4.455)</t>
  </si>
  <si>
    <t>Bijayapur-1(4.41)</t>
  </si>
  <si>
    <t>Radhi Khola(4.4)</t>
  </si>
  <si>
    <t>Tungun-Thosne(4.36)</t>
  </si>
  <si>
    <t>Baramchi Khola(4.2)</t>
  </si>
  <si>
    <t>Khudi Khola(4)</t>
  </si>
  <si>
    <t>Sabha Khola(4)</t>
  </si>
  <si>
    <t>Puwa Khola -1 (4)</t>
  </si>
  <si>
    <t>Sardi Khola(4)</t>
  </si>
  <si>
    <t>Chandranigahpur Solar Project(4)</t>
  </si>
  <si>
    <t>Upper Chhyangdi Khola(4)</t>
  </si>
  <si>
    <t>Super Mai Cascade(3.8)</t>
  </si>
  <si>
    <t>Dwari Khola(3.75)</t>
  </si>
  <si>
    <t>Charanawati  Khola(3.52)</t>
  </si>
  <si>
    <t>Kapadi Gad(3.33)</t>
  </si>
  <si>
    <t>Piluwa Khola Small(3)</t>
  </si>
  <si>
    <t>Chaku Khola(3)</t>
  </si>
  <si>
    <t>Bhairab Kunda(3)</t>
  </si>
  <si>
    <t>Upper Puwa -1(3)</t>
  </si>
  <si>
    <t>Midim Karapu(3)</t>
  </si>
  <si>
    <t>Upper Rawa(3)</t>
  </si>
  <si>
    <t>Everest Sugar and Chemical Industries Ltd.(3)</t>
  </si>
  <si>
    <t>Indushankar Chini Udhyog Ltd.(3)</t>
  </si>
  <si>
    <t>Dhalkebar Solar Project(3)</t>
  </si>
  <si>
    <t>Chake Khola(2.83)</t>
  </si>
  <si>
    <t>Sunkoshi Small(2.5)</t>
  </si>
  <si>
    <t>Daram Khola A(2.5)</t>
  </si>
  <si>
    <t>Ridi Khola(2.4)</t>
  </si>
  <si>
    <t>Upper Syange Khola(2.4)</t>
  </si>
  <si>
    <t>Jiri Khola Small(2.2)</t>
  </si>
  <si>
    <t>Chhandi(2)</t>
  </si>
  <si>
    <t>Jhyadi Khola(2)</t>
  </si>
  <si>
    <t>Khani Khola(2)</t>
  </si>
  <si>
    <t>Middle Chaku(1.8)</t>
  </si>
  <si>
    <t>Lower Chaku Khola(1.8)</t>
  </si>
  <si>
    <t>Thoppal Khola(1.65)</t>
  </si>
  <si>
    <t>Theule Khola(1.5)</t>
  </si>
  <si>
    <t>Dhalkebar Saurya Aayojana(1)</t>
  </si>
  <si>
    <t>Suspa Bukhari(0.998)</t>
  </si>
  <si>
    <t>Lower Chhote Khola(0.997)</t>
  </si>
  <si>
    <t>Hadi Khola Sunkoshi A(0.997)</t>
  </si>
  <si>
    <t>Pati Khola Small(0.996)</t>
  </si>
  <si>
    <t>Miya Khola(0.996)</t>
  </si>
  <si>
    <t>Jeuligad(0.996)</t>
  </si>
  <si>
    <t>Pheme Khola(0.995)</t>
  </si>
  <si>
    <t>Chhote Khola(0.993)</t>
  </si>
  <si>
    <t>Upper Hadi Khola(0.991)</t>
  </si>
  <si>
    <t>Lower Piluwa Small(0.99)</t>
  </si>
  <si>
    <t>Seti-II(0.979)</t>
  </si>
  <si>
    <t>Bishnu Priya Solar Farm Project(0.96)</t>
  </si>
  <si>
    <t>Sisne Khola Small(0.75)</t>
  </si>
  <si>
    <t>Solar(0.68)</t>
  </si>
  <si>
    <t>Dhunge-Jiri(0.6)</t>
  </si>
  <si>
    <t>Belkhu(0.518)</t>
  </si>
  <si>
    <t>Rairang Khola(0.5)</t>
  </si>
  <si>
    <t>Sali Nadi(0.25)</t>
  </si>
  <si>
    <t>Syange Khola(0.183)</t>
  </si>
  <si>
    <t>Midim Khola(0.1)</t>
  </si>
  <si>
    <t>Sobuwa Khola-2 MHP(0.09)</t>
  </si>
  <si>
    <t>Leguwa Khola(0.04)</t>
  </si>
  <si>
    <t>Syauri Bhumey(0.023)</t>
  </si>
  <si>
    <t>Others IPP Total</t>
  </si>
  <si>
    <t>PANAUTI(2.4)</t>
  </si>
  <si>
    <t>TATOPANI(2)</t>
  </si>
  <si>
    <t>SETI(1.5)</t>
  </si>
  <si>
    <t>FEWA(1)</t>
  </si>
  <si>
    <t>TINAU(1)</t>
  </si>
  <si>
    <t>SUNDARIJAL(0.66)</t>
  </si>
  <si>
    <t>Water Level</t>
  </si>
  <si>
    <t>KGA</t>
  </si>
  <si>
    <t>MMRS</t>
  </si>
  <si>
    <t>MRS</t>
  </si>
  <si>
    <t>KL 1</t>
  </si>
  <si>
    <t>Morning Peak</t>
  </si>
  <si>
    <t>PEAK SUMMARY</t>
  </si>
  <si>
    <t>NEA(RoR+PRoR)</t>
  </si>
  <si>
    <t xml:space="preserve"> Hrs.</t>
  </si>
  <si>
    <t>KL1+KL2+KL3</t>
  </si>
  <si>
    <t>T_Load</t>
  </si>
  <si>
    <t>Import</t>
  </si>
  <si>
    <t>Export</t>
  </si>
  <si>
    <t>Total</t>
  </si>
  <si>
    <t>Time</t>
  </si>
  <si>
    <t>Frequency</t>
  </si>
  <si>
    <t>Sdordi</t>
  </si>
  <si>
    <t>udordi</t>
  </si>
  <si>
    <t>dordi27</t>
  </si>
  <si>
    <t>dordi 12</t>
  </si>
  <si>
    <t xml:space="preserve"> </t>
  </si>
  <si>
    <t>P</t>
  </si>
  <si>
    <t>A</t>
  </si>
  <si>
    <t>R</t>
  </si>
  <si>
    <t>T</t>
  </si>
  <si>
    <t>I</t>
  </si>
  <si>
    <t>S</t>
  </si>
  <si>
    <t>Y</t>
  </si>
  <si>
    <t>E</t>
  </si>
  <si>
    <t>M</t>
  </si>
  <si>
    <t>.</t>
  </si>
  <si>
    <t>Chepe</t>
  </si>
  <si>
    <t>r</t>
  </si>
  <si>
    <t>t</t>
  </si>
  <si>
    <t>i</t>
  </si>
  <si>
    <t>s</t>
  </si>
  <si>
    <t>y</t>
  </si>
  <si>
    <t>e</t>
  </si>
  <si>
    <t>m</t>
  </si>
  <si>
    <t>U</t>
  </si>
  <si>
    <t>D</t>
  </si>
  <si>
    <t>B</t>
  </si>
  <si>
    <t>Mistri</t>
  </si>
  <si>
    <t>Pathlaiya</t>
  </si>
  <si>
    <t>Nyadi</t>
  </si>
  <si>
    <t>b</t>
  </si>
  <si>
    <t>system</t>
  </si>
  <si>
    <t>disturb</t>
  </si>
  <si>
    <t>kohalpur</t>
  </si>
  <si>
    <t>bhuri</t>
  </si>
  <si>
    <t>lamki</t>
  </si>
  <si>
    <t>pahal</t>
  </si>
  <si>
    <t>ataria</t>
  </si>
  <si>
    <t>mahendra</t>
  </si>
  <si>
    <t>73..7</t>
  </si>
  <si>
    <t>Likhu-A</t>
  </si>
  <si>
    <t>Likhu-IV</t>
  </si>
  <si>
    <t>Khimti</t>
  </si>
  <si>
    <t>Garjyang</t>
  </si>
  <si>
    <t>Lower Likhu</t>
  </si>
  <si>
    <t>mistri</t>
  </si>
  <si>
    <t>ghalemdi</t>
  </si>
  <si>
    <t>ghar khola</t>
  </si>
  <si>
    <t>lmodi1</t>
  </si>
  <si>
    <t>lmodi20</t>
  </si>
  <si>
    <t xml:space="preserve">S </t>
  </si>
  <si>
    <t>d</t>
  </si>
  <si>
    <t>u</t>
  </si>
  <si>
    <t>Tuesday</t>
  </si>
  <si>
    <t>Monday</t>
  </si>
  <si>
    <t>Sunday</t>
  </si>
  <si>
    <t>17:00 - 17:15</t>
  </si>
  <si>
    <t>17:15 - 17:30</t>
  </si>
  <si>
    <t>17:30 - 17:45</t>
  </si>
  <si>
    <t>17:45 - 18:00</t>
  </si>
  <si>
    <t>18:00 - 18:15</t>
  </si>
  <si>
    <t>18:15 - 18:30</t>
  </si>
  <si>
    <t>18:30 - 18:45</t>
  </si>
  <si>
    <t>18:45 - 19:00</t>
  </si>
  <si>
    <t>19:00 - 19:15</t>
  </si>
  <si>
    <t>19:15 - 19:30</t>
  </si>
  <si>
    <t>19:30 - 19:45</t>
  </si>
  <si>
    <t>19:45 - 20:00</t>
  </si>
  <si>
    <t>20:00 - 20:15</t>
  </si>
  <si>
    <t>20:15 - 20:30</t>
  </si>
  <si>
    <t>20:30 - 20:45</t>
  </si>
  <si>
    <t>20:45 - 21:00</t>
  </si>
  <si>
    <t>21:00 - 21:15</t>
  </si>
  <si>
    <t>21:15 - 21:30</t>
  </si>
  <si>
    <t>21:30 - 21:45</t>
  </si>
  <si>
    <t>21:45 - 22:00</t>
  </si>
  <si>
    <t>22:00 - 22:15</t>
  </si>
  <si>
    <t>22:15 - 22:30</t>
  </si>
  <si>
    <t>22:30 - 22:45</t>
  </si>
  <si>
    <t>22:45 - 23:00</t>
  </si>
  <si>
    <t>23:00 - 23:15</t>
  </si>
  <si>
    <t>23:15 - 23:30</t>
  </si>
  <si>
    <t>23:30 - 23:45</t>
  </si>
  <si>
    <t>23:45 - 24:00</t>
  </si>
  <si>
    <t xml:space="preserve">Dana Substation </t>
  </si>
  <si>
    <t>Upper Sanigad</t>
  </si>
  <si>
    <t>Upper Chameliya</t>
  </si>
  <si>
    <t>Likhu2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</si>
</sst>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F800]dddd\,\ mmmm\ dd\,\ yyyy"/>
    <numFmt numFmtId="165" formatCode="h:mm;@"/>
    <numFmt numFmtId="166" formatCode="0.0"/>
    <numFmt numFmtId="167" formatCode="[hh]:mm"/>
    <numFmt numFmtId="168" formatCode="00.00"/>
    <numFmt numFmtId="169" formatCode="0.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Times New Roman"/>
      <family val="1"/>
    </font>
    <font>
      <b/>
      <sz val="14"/>
      <color theme="0" tint="-4.9989318521683403E-2"/>
      <name val="Times New Roman"/>
      <family val="1"/>
    </font>
    <font>
      <b/>
      <sz val="16"/>
      <color rgb="FF002060"/>
      <name val="Times New Roman"/>
      <family val="1"/>
    </font>
    <font>
      <sz val="14"/>
      <name val="Times New Roman"/>
      <family val="1"/>
    </font>
    <font>
      <b/>
      <sz val="12"/>
      <color rgb="FF7030A0"/>
      <name val="Times New Roman"/>
      <family val="1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Times New Roman"/>
      <family val="1"/>
    </font>
    <font>
      <sz val="12"/>
      <name val="Calibri"/>
      <family val="2"/>
      <scheme val="minor"/>
    </font>
    <font>
      <b/>
      <sz val="9"/>
      <color rgb="FF7030A0"/>
      <name val="Calibri"/>
      <family val="2"/>
      <scheme val="minor"/>
    </font>
    <font>
      <b/>
      <i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0"/>
      <color indexed="12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8"/>
      <name val="Times New Roman"/>
      <family val="1"/>
    </font>
    <font>
      <b/>
      <sz val="12"/>
      <name val="Calibri"/>
      <family val="2"/>
      <scheme val="minor"/>
    </font>
    <font>
      <b/>
      <i/>
      <sz val="11"/>
      <name val="Times New Roman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i/>
      <sz val="10"/>
      <name val="Times New Roman"/>
      <family val="1"/>
    </font>
    <font>
      <sz val="10"/>
      <color rgb="FFFF0000"/>
      <name val="Times New Roman"/>
      <family val="1"/>
    </font>
    <font>
      <sz val="10"/>
      <color rgb="FFFF0000"/>
      <name val="Arial"/>
      <family val="2"/>
    </font>
    <font>
      <b/>
      <sz val="11"/>
      <name val="Times New Roman"/>
      <family val="1"/>
    </font>
    <font>
      <sz val="10"/>
      <color indexed="10"/>
      <name val="Times New Roman"/>
      <family val="1"/>
    </font>
    <font>
      <sz val="8"/>
      <name val="Arial Narrow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charset val="1"/>
      <scheme val="minor"/>
    </font>
    <font>
      <sz val="8"/>
      <name val="Calibri"/>
      <family val="2"/>
      <scheme val="minor"/>
    </font>
    <font>
      <sz val="1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 diagonalDown="1">
      <left style="double">
        <color indexed="64"/>
      </left>
      <right style="thin">
        <color indexed="64"/>
      </right>
      <top style="double">
        <color indexed="64"/>
      </top>
      <bottom/>
      <diagonal style="double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 diagonalDown="1">
      <left style="double">
        <color indexed="64"/>
      </left>
      <right style="thin">
        <color indexed="64"/>
      </right>
      <top/>
      <bottom style="double">
        <color indexed="64"/>
      </bottom>
      <diagonal style="double">
        <color indexed="64"/>
      </diagonal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/>
    <xf numFmtId="0" fontId="34" fillId="0" borderId="0"/>
    <xf numFmtId="164" fontId="1" fillId="0" borderId="0"/>
  </cellStyleXfs>
  <cellXfs count="213">
    <xf numFmtId="0" fontId="0" fillId="0" borderId="0" xfId="0"/>
    <xf numFmtId="164" fontId="1" fillId="0" borderId="0" xfId="2"/>
    <xf numFmtId="164" fontId="1" fillId="0" borderId="0" xfId="2" applyProtection="1">
      <protection locked="0"/>
    </xf>
    <xf numFmtId="164" fontId="6" fillId="0" borderId="0" xfId="2" applyFont="1" applyAlignment="1">
      <alignment vertical="center"/>
    </xf>
    <xf numFmtId="164" fontId="7" fillId="0" borderId="2" xfId="2" applyFont="1" applyBorder="1" applyAlignment="1">
      <alignment vertical="center"/>
    </xf>
    <xf numFmtId="164" fontId="7" fillId="0" borderId="4" xfId="2" applyFont="1" applyBorder="1" applyAlignment="1">
      <alignment vertical="center"/>
    </xf>
    <xf numFmtId="164" fontId="4" fillId="0" borderId="6" xfId="2" applyFont="1" applyBorder="1" applyAlignment="1">
      <alignment horizontal="center" vertical="center"/>
    </xf>
    <xf numFmtId="164" fontId="4" fillId="0" borderId="6" xfId="2" applyFont="1" applyBorder="1" applyAlignment="1">
      <alignment vertical="center"/>
    </xf>
    <xf numFmtId="164" fontId="4" fillId="0" borderId="0" xfId="2" applyFont="1" applyAlignment="1">
      <alignment vertical="center"/>
    </xf>
    <xf numFmtId="14" fontId="8" fillId="0" borderId="0" xfId="2" applyNumberFormat="1" applyFont="1" applyAlignment="1">
      <alignment vertical="center"/>
    </xf>
    <xf numFmtId="43" fontId="9" fillId="3" borderId="0" xfId="1" applyFont="1" applyFill="1" applyAlignment="1">
      <alignment horizontal="center"/>
    </xf>
    <xf numFmtId="164" fontId="9" fillId="3" borderId="0" xfId="2" applyFont="1" applyFill="1"/>
    <xf numFmtId="164" fontId="1" fillId="3" borderId="0" xfId="2" applyFill="1"/>
    <xf numFmtId="164" fontId="10" fillId="0" borderId="0" xfId="2" applyFont="1" applyAlignment="1">
      <alignment horizontal="center" vertical="center"/>
    </xf>
    <xf numFmtId="164" fontId="11" fillId="0" borderId="0" xfId="2" applyFont="1"/>
    <xf numFmtId="164" fontId="12" fillId="0" borderId="0" xfId="2" applyFont="1" applyAlignment="1">
      <alignment vertical="center"/>
    </xf>
    <xf numFmtId="164" fontId="7" fillId="0" borderId="8" xfId="2" applyFont="1" applyBorder="1" applyAlignment="1">
      <alignment vertical="center"/>
    </xf>
    <xf numFmtId="164" fontId="7" fillId="0" borderId="10" xfId="2" applyFont="1" applyBorder="1" applyAlignment="1">
      <alignment vertical="center"/>
    </xf>
    <xf numFmtId="164" fontId="1" fillId="0" borderId="6" xfId="2" applyBorder="1" applyAlignment="1">
      <alignment horizontal="center" vertical="center"/>
    </xf>
    <xf numFmtId="164" fontId="3" fillId="0" borderId="0" xfId="2" applyFont="1" applyAlignment="1">
      <alignment horizontal="center" vertical="center"/>
    </xf>
    <xf numFmtId="164" fontId="3" fillId="0" borderId="0" xfId="2" applyFont="1" applyAlignment="1">
      <alignment vertical="center"/>
    </xf>
    <xf numFmtId="164" fontId="12" fillId="0" borderId="0" xfId="2" applyFont="1" applyAlignment="1">
      <alignment horizontal="center" vertical="center"/>
    </xf>
    <xf numFmtId="43" fontId="13" fillId="3" borderId="0" xfId="1" applyFont="1" applyFill="1" applyAlignment="1">
      <alignment horizontal="center" vertical="center"/>
    </xf>
    <xf numFmtId="20" fontId="1" fillId="0" borderId="0" xfId="2" applyNumberFormat="1" applyAlignment="1">
      <alignment horizontal="center" vertical="center"/>
    </xf>
    <xf numFmtId="165" fontId="14" fillId="0" borderId="0" xfId="2" applyNumberFormat="1" applyFont="1"/>
    <xf numFmtId="164" fontId="15" fillId="4" borderId="0" xfId="2" applyFont="1" applyFill="1" applyAlignment="1">
      <alignment horizontal="right" vertical="center"/>
    </xf>
    <xf numFmtId="164" fontId="16" fillId="0" borderId="0" xfId="2" applyFont="1" applyAlignment="1">
      <alignment vertical="center"/>
    </xf>
    <xf numFmtId="164" fontId="17" fillId="0" borderId="0" xfId="2" applyFont="1" applyAlignment="1">
      <alignment vertical="center"/>
    </xf>
    <xf numFmtId="164" fontId="1" fillId="0" borderId="0" xfId="2" applyAlignment="1">
      <alignment horizontal="center" vertical="center"/>
    </xf>
    <xf numFmtId="164" fontId="15" fillId="4" borderId="0" xfId="2" applyFont="1" applyFill="1" applyAlignment="1">
      <alignment vertical="center"/>
    </xf>
    <xf numFmtId="166" fontId="1" fillId="5" borderId="0" xfId="2" applyNumberFormat="1" applyFill="1"/>
    <xf numFmtId="164" fontId="1" fillId="5" borderId="0" xfId="2" applyFill="1"/>
    <xf numFmtId="164" fontId="15" fillId="4" borderId="0" xfId="2" applyFont="1" applyFill="1" applyAlignment="1">
      <alignment horizontal="left" vertical="center"/>
    </xf>
    <xf numFmtId="164" fontId="18" fillId="3" borderId="0" xfId="2" applyFont="1" applyFill="1"/>
    <xf numFmtId="164" fontId="19" fillId="0" borderId="0" xfId="2" applyFont="1" applyAlignment="1">
      <alignment horizontal="left" vertical="center"/>
    </xf>
    <xf numFmtId="1" fontId="20" fillId="0" borderId="0" xfId="2" applyNumberFormat="1" applyFont="1" applyAlignment="1">
      <alignment horizontal="center" vertical="center"/>
    </xf>
    <xf numFmtId="43" fontId="21" fillId="0" borderId="0" xfId="1" applyFont="1" applyFill="1" applyAlignment="1">
      <alignment horizontal="center" vertical="center"/>
    </xf>
    <xf numFmtId="164" fontId="2" fillId="0" borderId="0" xfId="2" applyFont="1"/>
    <xf numFmtId="164" fontId="12" fillId="0" borderId="12" xfId="2" applyFont="1" applyBorder="1" applyAlignment="1">
      <alignment vertical="center"/>
    </xf>
    <xf numFmtId="2" fontId="12" fillId="6" borderId="16" xfId="2" applyNumberFormat="1" applyFont="1" applyFill="1" applyBorder="1" applyAlignment="1">
      <alignment horizontal="center" vertical="center"/>
    </xf>
    <xf numFmtId="164" fontId="18" fillId="0" borderId="0" xfId="2" applyFont="1" applyAlignment="1">
      <alignment horizontal="center"/>
    </xf>
    <xf numFmtId="164" fontId="18" fillId="0" borderId="0" xfId="2" applyFont="1"/>
    <xf numFmtId="164" fontId="18" fillId="0" borderId="0" xfId="2" applyFont="1" applyAlignment="1">
      <alignment horizontal="left"/>
    </xf>
    <xf numFmtId="164" fontId="1" fillId="0" borderId="0" xfId="2" applyAlignment="1">
      <alignment horizontal="center"/>
    </xf>
    <xf numFmtId="164" fontId="12" fillId="0" borderId="24" xfId="2" applyFont="1" applyBorder="1" applyAlignment="1">
      <alignment horizontal="right" vertical="center"/>
    </xf>
    <xf numFmtId="166" fontId="12" fillId="0" borderId="25" xfId="2" applyNumberFormat="1" applyFont="1" applyBorder="1" applyAlignment="1" applyProtection="1">
      <alignment horizontal="center" vertical="center"/>
      <protection locked="0"/>
    </xf>
    <xf numFmtId="169" fontId="12" fillId="0" borderId="25" xfId="2" applyNumberFormat="1" applyFont="1" applyBorder="1" applyAlignment="1" applyProtection="1">
      <alignment horizontal="center" vertical="center"/>
      <protection locked="0"/>
    </xf>
    <xf numFmtId="166" fontId="1" fillId="0" borderId="0" xfId="2" applyNumberFormat="1" applyAlignment="1" applyProtection="1">
      <alignment horizontal="center"/>
      <protection locked="0"/>
    </xf>
    <xf numFmtId="166" fontId="1" fillId="0" borderId="0" xfId="2" applyNumberFormat="1" applyProtection="1">
      <protection locked="0"/>
    </xf>
    <xf numFmtId="169" fontId="12" fillId="0" borderId="26" xfId="2" applyNumberFormat="1" applyFont="1" applyBorder="1" applyAlignment="1" applyProtection="1">
      <alignment horizontal="center" vertical="center"/>
      <protection locked="0"/>
    </xf>
    <xf numFmtId="20" fontId="1" fillId="0" borderId="0" xfId="2" applyNumberFormat="1"/>
    <xf numFmtId="169" fontId="25" fillId="0" borderId="27" xfId="2" applyNumberFormat="1" applyFont="1" applyBorder="1" applyAlignment="1">
      <alignment horizontal="center" vertical="center"/>
    </xf>
    <xf numFmtId="2" fontId="25" fillId="0" borderId="27" xfId="2" applyNumberFormat="1" applyFont="1" applyBorder="1" applyAlignment="1">
      <alignment horizontal="center" vertical="center"/>
    </xf>
    <xf numFmtId="164" fontId="12" fillId="0" borderId="28" xfId="2" applyFont="1" applyBorder="1" applyAlignment="1">
      <alignment horizontal="right" vertical="center"/>
    </xf>
    <xf numFmtId="169" fontId="25" fillId="0" borderId="29" xfId="2" applyNumberFormat="1" applyFont="1" applyBorder="1" applyAlignment="1">
      <alignment horizontal="center" vertical="center"/>
    </xf>
    <xf numFmtId="164" fontId="26" fillId="0" borderId="28" xfId="2" applyFont="1" applyBorder="1" applyAlignment="1">
      <alignment horizontal="right" vertical="center"/>
    </xf>
    <xf numFmtId="166" fontId="12" fillId="9" borderId="6" xfId="2" applyNumberFormat="1" applyFont="1" applyFill="1" applyBorder="1" applyAlignment="1" applyProtection="1">
      <alignment horizontal="center" vertical="center"/>
      <protection locked="0"/>
    </xf>
    <xf numFmtId="164" fontId="16" fillId="0" borderId="24" xfId="2" applyFont="1" applyBorder="1" applyAlignment="1">
      <alignment horizontal="right" vertical="center"/>
    </xf>
    <xf numFmtId="166" fontId="12" fillId="10" borderId="25" xfId="2" applyNumberFormat="1" applyFont="1" applyFill="1" applyBorder="1" applyAlignment="1" applyProtection="1">
      <alignment horizontal="center" vertical="center"/>
      <protection locked="0"/>
    </xf>
    <xf numFmtId="164" fontId="16" fillId="0" borderId="30" xfId="2" applyFont="1" applyBorder="1" applyAlignment="1">
      <alignment horizontal="left" vertical="center"/>
    </xf>
    <xf numFmtId="166" fontId="16" fillId="0" borderId="31" xfId="2" applyNumberFormat="1" applyFont="1" applyBorder="1" applyAlignment="1">
      <alignment horizontal="center" vertical="center"/>
    </xf>
    <xf numFmtId="169" fontId="16" fillId="0" borderId="31" xfId="2" applyNumberFormat="1" applyFont="1" applyBorder="1" applyAlignment="1">
      <alignment horizontal="center" vertical="center"/>
    </xf>
    <xf numFmtId="164" fontId="12" fillId="0" borderId="32" xfId="2" applyFont="1" applyBorder="1" applyAlignment="1">
      <alignment horizontal="right" vertical="center"/>
    </xf>
    <xf numFmtId="164" fontId="12" fillId="0" borderId="33" xfId="2" applyFont="1" applyBorder="1" applyAlignment="1">
      <alignment horizontal="right" vertical="center"/>
    </xf>
    <xf numFmtId="166" fontId="12" fillId="0" borderId="6" xfId="2" applyNumberFormat="1" applyFont="1" applyBorder="1" applyAlignment="1" applyProtection="1">
      <alignment horizontal="center" vertical="center"/>
      <protection locked="0"/>
    </xf>
    <xf numFmtId="164" fontId="12" fillId="0" borderId="34" xfId="2" applyFont="1" applyBorder="1" applyAlignment="1">
      <alignment horizontal="right" vertical="center"/>
    </xf>
    <xf numFmtId="166" fontId="12" fillId="0" borderId="18" xfId="2" applyNumberFormat="1" applyFont="1" applyBorder="1" applyAlignment="1" applyProtection="1">
      <alignment horizontal="center" vertical="center"/>
      <protection locked="0"/>
    </xf>
    <xf numFmtId="169" fontId="25" fillId="0" borderId="23" xfId="2" applyNumberFormat="1" applyFont="1" applyBorder="1" applyAlignment="1">
      <alignment horizontal="center" vertical="center"/>
    </xf>
    <xf numFmtId="164" fontId="16" fillId="0" borderId="35" xfId="2" applyFont="1" applyBorder="1" applyAlignment="1">
      <alignment horizontal="left" vertical="center"/>
    </xf>
    <xf numFmtId="164" fontId="27" fillId="0" borderId="0" xfId="2" applyFont="1"/>
    <xf numFmtId="164" fontId="12" fillId="0" borderId="36" xfId="2" applyFont="1" applyBorder="1" applyAlignment="1">
      <alignment horizontal="right" vertical="center"/>
    </xf>
    <xf numFmtId="2" fontId="26" fillId="0" borderId="37" xfId="2" applyNumberFormat="1" applyFont="1" applyBorder="1" applyAlignment="1">
      <alignment horizontal="center" vertical="center"/>
    </xf>
    <xf numFmtId="169" fontId="26" fillId="0" borderId="37" xfId="2" applyNumberFormat="1" applyFont="1" applyBorder="1" applyAlignment="1">
      <alignment horizontal="center" vertical="center"/>
    </xf>
    <xf numFmtId="164" fontId="16" fillId="0" borderId="38" xfId="2" applyFont="1" applyBorder="1" applyAlignment="1">
      <alignment horizontal="left" vertical="center"/>
    </xf>
    <xf numFmtId="169" fontId="12" fillId="0" borderId="29" xfId="2" applyNumberFormat="1" applyFont="1" applyBorder="1" applyAlignment="1">
      <alignment horizontal="center" vertical="center"/>
    </xf>
    <xf numFmtId="166" fontId="12" fillId="0" borderId="25" xfId="2" applyNumberFormat="1" applyFont="1" applyBorder="1" applyAlignment="1">
      <alignment horizontal="center" vertical="center"/>
    </xf>
    <xf numFmtId="166" fontId="12" fillId="0" borderId="6" xfId="2" applyNumberFormat="1" applyFont="1" applyBorder="1" applyAlignment="1">
      <alignment horizontal="center" vertical="center"/>
    </xf>
    <xf numFmtId="164" fontId="2" fillId="11" borderId="0" xfId="2" applyFont="1" applyFill="1"/>
    <xf numFmtId="20" fontId="1" fillId="0" borderId="39" xfId="2" applyNumberFormat="1" applyBorder="1"/>
    <xf numFmtId="166" fontId="12" fillId="0" borderId="2" xfId="2" applyNumberFormat="1" applyFont="1" applyBorder="1" applyAlignment="1" applyProtection="1">
      <alignment horizontal="center" vertical="center"/>
      <protection locked="0"/>
    </xf>
    <xf numFmtId="166" fontId="12" fillId="0" borderId="4" xfId="2" applyNumberFormat="1" applyFont="1" applyBorder="1" applyAlignment="1" applyProtection="1">
      <alignment horizontal="center" vertical="center"/>
      <protection locked="0"/>
    </xf>
    <xf numFmtId="164" fontId="0" fillId="0" borderId="5" xfId="2" applyFont="1" applyBorder="1"/>
    <xf numFmtId="166" fontId="12" fillId="0" borderId="40" xfId="2" applyNumberFormat="1" applyFont="1" applyBorder="1" applyAlignment="1" applyProtection="1">
      <alignment horizontal="center" vertical="center"/>
      <protection locked="0"/>
    </xf>
    <xf numFmtId="164" fontId="12" fillId="0" borderId="41" xfId="2" applyFont="1" applyBorder="1" applyAlignment="1">
      <alignment horizontal="right" vertical="center"/>
    </xf>
    <xf numFmtId="169" fontId="12" fillId="0" borderId="42" xfId="2" applyNumberFormat="1" applyFont="1" applyBorder="1" applyAlignment="1">
      <alignment horizontal="center" vertical="center"/>
    </xf>
    <xf numFmtId="164" fontId="1" fillId="0" borderId="5" xfId="2" applyBorder="1"/>
    <xf numFmtId="166" fontId="12" fillId="11" borderId="43" xfId="2" applyNumberFormat="1" applyFont="1" applyFill="1" applyBorder="1" applyAlignment="1" applyProtection="1">
      <alignment horizontal="center" vertical="center"/>
      <protection locked="0"/>
    </xf>
    <xf numFmtId="169" fontId="16" fillId="0" borderId="44" xfId="2" applyNumberFormat="1" applyFont="1" applyBorder="1" applyAlignment="1">
      <alignment horizontal="center" vertical="center"/>
    </xf>
    <xf numFmtId="166" fontId="12" fillId="0" borderId="45" xfId="2" applyNumberFormat="1" applyFont="1" applyBorder="1" applyAlignment="1">
      <alignment horizontal="center" vertical="center"/>
    </xf>
    <xf numFmtId="169" fontId="12" fillId="0" borderId="27" xfId="2" applyNumberFormat="1" applyFont="1" applyBorder="1" applyAlignment="1">
      <alignment horizontal="center" vertical="center"/>
    </xf>
    <xf numFmtId="164" fontId="1" fillId="0" borderId="48" xfId="2" applyBorder="1"/>
    <xf numFmtId="166" fontId="12" fillId="0" borderId="8" xfId="2" applyNumberFormat="1" applyFont="1" applyBorder="1" applyAlignment="1" applyProtection="1">
      <alignment horizontal="center" vertical="center"/>
      <protection locked="0"/>
    </xf>
    <xf numFmtId="166" fontId="12" fillId="0" borderId="10" xfId="2" applyNumberFormat="1" applyFont="1" applyBorder="1" applyAlignment="1" applyProtection="1">
      <alignment horizontal="center" vertical="center"/>
      <protection locked="0"/>
    </xf>
    <xf numFmtId="166" fontId="12" fillId="0" borderId="37" xfId="2" applyNumberFormat="1" applyFont="1" applyBorder="1" applyAlignment="1">
      <alignment horizontal="center" vertical="center"/>
    </xf>
    <xf numFmtId="1" fontId="16" fillId="0" borderId="31" xfId="2" applyNumberFormat="1" applyFont="1" applyBorder="1" applyAlignment="1">
      <alignment horizontal="center" vertical="center"/>
    </xf>
    <xf numFmtId="164" fontId="16" fillId="11" borderId="38" xfId="2" applyFont="1" applyFill="1" applyBorder="1" applyAlignment="1">
      <alignment vertical="center" wrapText="1"/>
    </xf>
    <xf numFmtId="166" fontId="12" fillId="0" borderId="31" xfId="2" applyNumberFormat="1" applyFont="1" applyBorder="1" applyAlignment="1" applyProtection="1">
      <alignment horizontal="center" vertical="center"/>
      <protection locked="0"/>
    </xf>
    <xf numFmtId="169" fontId="25" fillId="0" borderId="42" xfId="2" applyNumberFormat="1" applyFont="1" applyBorder="1" applyAlignment="1">
      <alignment horizontal="center" vertical="center"/>
    </xf>
    <xf numFmtId="164" fontId="16" fillId="0" borderId="38" xfId="2" applyFont="1" applyBorder="1" applyAlignment="1">
      <alignment horizontal="center" vertical="center"/>
    </xf>
    <xf numFmtId="164" fontId="12" fillId="0" borderId="49" xfId="2" applyFont="1" applyBorder="1" applyAlignment="1">
      <alignment horizontal="right" vertical="center"/>
    </xf>
    <xf numFmtId="2" fontId="12" fillId="0" borderId="2" xfId="2" applyNumberFormat="1" applyFont="1" applyBorder="1" applyAlignment="1" applyProtection="1">
      <alignment horizontal="center" vertical="center"/>
      <protection locked="0"/>
    </xf>
    <xf numFmtId="169" fontId="12" fillId="0" borderId="50" xfId="2" applyNumberFormat="1" applyFont="1" applyBorder="1" applyAlignment="1">
      <alignment horizontal="center" vertical="center"/>
    </xf>
    <xf numFmtId="164" fontId="12" fillId="0" borderId="51" xfId="2" applyFont="1" applyBorder="1" applyAlignment="1">
      <alignment horizontal="right" vertical="center"/>
    </xf>
    <xf numFmtId="169" fontId="12" fillId="0" borderId="52" xfId="2" applyNumberFormat="1" applyFont="1" applyBorder="1" applyAlignment="1">
      <alignment horizontal="center" vertical="center"/>
    </xf>
    <xf numFmtId="164" fontId="12" fillId="0" borderId="53" xfId="2" applyFont="1" applyBorder="1" applyAlignment="1">
      <alignment horizontal="right" vertical="center"/>
    </xf>
    <xf numFmtId="166" fontId="12" fillId="0" borderId="6" xfId="2" applyNumberFormat="1" applyFont="1" applyBorder="1" applyAlignment="1" applyProtection="1">
      <alignment horizontal="center"/>
      <protection locked="0"/>
    </xf>
    <xf numFmtId="169" fontId="12" fillId="0" borderId="52" xfId="2" applyNumberFormat="1" applyFont="1" applyBorder="1" applyAlignment="1">
      <alignment horizontal="center"/>
    </xf>
    <xf numFmtId="169" fontId="12" fillId="0" borderId="54" xfId="2" applyNumberFormat="1" applyFont="1" applyBorder="1" applyAlignment="1">
      <alignment horizontal="center" vertical="center"/>
    </xf>
    <xf numFmtId="164" fontId="16" fillId="0" borderId="0" xfId="2" applyFont="1" applyAlignment="1">
      <alignment horizontal="right" vertical="center"/>
    </xf>
    <xf numFmtId="164" fontId="12" fillId="0" borderId="1" xfId="2" applyFont="1" applyBorder="1" applyAlignment="1">
      <alignment vertical="center"/>
    </xf>
    <xf numFmtId="166" fontId="16" fillId="0" borderId="3" xfId="2" applyNumberFormat="1" applyFont="1" applyBorder="1" applyAlignment="1">
      <alignment horizontal="center" vertical="center"/>
    </xf>
    <xf numFmtId="169" fontId="1" fillId="0" borderId="0" xfId="2" applyNumberFormat="1"/>
    <xf numFmtId="166" fontId="12" fillId="0" borderId="55" xfId="2" applyNumberFormat="1" applyFont="1" applyBorder="1" applyAlignment="1" applyProtection="1">
      <alignment horizontal="center" vertical="center"/>
      <protection locked="0"/>
    </xf>
    <xf numFmtId="169" fontId="1" fillId="0" borderId="6" xfId="2" applyNumberFormat="1" applyBorder="1" applyAlignment="1">
      <alignment horizontal="center"/>
    </xf>
    <xf numFmtId="166" fontId="12" fillId="0" borderId="45" xfId="2" applyNumberFormat="1" applyFont="1" applyBorder="1" applyAlignment="1" applyProtection="1">
      <alignment horizontal="center" vertical="center"/>
      <protection locked="0"/>
    </xf>
    <xf numFmtId="164" fontId="12" fillId="0" borderId="56" xfId="2" applyFont="1" applyBorder="1" applyAlignment="1">
      <alignment horizontal="right" vertical="center"/>
    </xf>
    <xf numFmtId="166" fontId="12" fillId="0" borderId="57" xfId="2" applyNumberFormat="1" applyFont="1" applyBorder="1" applyAlignment="1" applyProtection="1">
      <alignment horizontal="center"/>
      <protection locked="0"/>
    </xf>
    <xf numFmtId="169" fontId="1" fillId="0" borderId="37" xfId="2" applyNumberFormat="1" applyBorder="1" applyAlignment="1">
      <alignment horizontal="center"/>
    </xf>
    <xf numFmtId="169" fontId="1" fillId="0" borderId="0" xfId="2" applyNumberFormat="1" applyAlignment="1">
      <alignment horizontal="center"/>
    </xf>
    <xf numFmtId="164" fontId="12" fillId="0" borderId="6" xfId="2" applyFont="1" applyBorder="1" applyAlignment="1">
      <alignment horizontal="right" vertical="center"/>
    </xf>
    <xf numFmtId="164" fontId="28" fillId="0" borderId="6" xfId="2" applyFont="1" applyBorder="1" applyAlignment="1">
      <alignment horizontal="right" vertical="center"/>
    </xf>
    <xf numFmtId="164" fontId="16" fillId="0" borderId="48" xfId="2" applyFont="1" applyBorder="1" applyAlignment="1">
      <alignment vertical="center"/>
    </xf>
    <xf numFmtId="164" fontId="1" fillId="0" borderId="58" xfId="2" applyBorder="1" applyAlignment="1">
      <alignment horizontal="center"/>
    </xf>
    <xf numFmtId="169" fontId="1" fillId="0" borderId="59" xfId="2" applyNumberFormat="1" applyBorder="1" applyAlignment="1">
      <alignment horizontal="center"/>
    </xf>
    <xf numFmtId="164" fontId="12" fillId="0" borderId="60" xfId="2" applyFont="1" applyBorder="1" applyAlignment="1">
      <alignment horizontal="right" vertical="center"/>
    </xf>
    <xf numFmtId="2" fontId="12" fillId="0" borderId="25" xfId="2" applyNumberFormat="1" applyFont="1" applyBorder="1" applyAlignment="1">
      <alignment horizontal="center" vertical="center"/>
    </xf>
    <xf numFmtId="2" fontId="12" fillId="0" borderId="25" xfId="2" applyNumberFormat="1" applyFont="1" applyBorder="1" applyAlignment="1" applyProtection="1">
      <alignment horizontal="center" vertical="center"/>
      <protection locked="0"/>
    </xf>
    <xf numFmtId="169" fontId="25" fillId="0" borderId="61" xfId="2" applyNumberFormat="1" applyFont="1" applyBorder="1" applyAlignment="1">
      <alignment horizontal="center" vertical="center"/>
    </xf>
    <xf numFmtId="2" fontId="12" fillId="0" borderId="6" xfId="2" applyNumberFormat="1" applyFont="1" applyBorder="1" applyAlignment="1">
      <alignment horizontal="center" vertical="center"/>
    </xf>
    <xf numFmtId="2" fontId="12" fillId="0" borderId="6" xfId="2" applyNumberFormat="1" applyFont="1" applyBorder="1" applyAlignment="1" applyProtection="1">
      <alignment horizontal="center" vertical="center"/>
      <protection locked="0"/>
    </xf>
    <xf numFmtId="169" fontId="25" fillId="0" borderId="40" xfId="2" applyNumberFormat="1" applyFont="1" applyBorder="1" applyAlignment="1">
      <alignment horizontal="center" vertical="center"/>
    </xf>
    <xf numFmtId="169" fontId="25" fillId="0" borderId="62" xfId="2" applyNumberFormat="1" applyFont="1" applyBorder="1" applyAlignment="1">
      <alignment horizontal="center" vertical="center"/>
    </xf>
    <xf numFmtId="2" fontId="12" fillId="0" borderId="37" xfId="2" applyNumberFormat="1" applyFont="1" applyBorder="1" applyAlignment="1">
      <alignment horizontal="center" vertical="center"/>
    </xf>
    <xf numFmtId="2" fontId="12" fillId="0" borderId="18" xfId="2" applyNumberFormat="1" applyFont="1" applyBorder="1" applyAlignment="1" applyProtection="1">
      <alignment horizontal="center" vertical="center"/>
      <protection locked="0"/>
    </xf>
    <xf numFmtId="164" fontId="12" fillId="0" borderId="35" xfId="2" applyFont="1" applyBorder="1" applyAlignment="1">
      <alignment vertical="center"/>
    </xf>
    <xf numFmtId="2" fontId="12" fillId="0" borderId="63" xfId="2" applyNumberFormat="1" applyFont="1" applyBorder="1" applyAlignment="1">
      <alignment horizontal="center" vertical="center"/>
    </xf>
    <xf numFmtId="2" fontId="12" fillId="0" borderId="31" xfId="2" applyNumberFormat="1" applyFont="1" applyBorder="1" applyAlignment="1">
      <alignment horizontal="center" vertical="center"/>
    </xf>
    <xf numFmtId="2" fontId="12" fillId="0" borderId="64" xfId="2" applyNumberFormat="1" applyFont="1" applyBorder="1" applyAlignment="1">
      <alignment horizontal="center" vertical="center"/>
    </xf>
    <xf numFmtId="169" fontId="25" fillId="0" borderId="35" xfId="2" applyNumberFormat="1" applyFont="1" applyBorder="1" applyAlignment="1">
      <alignment horizontal="center" vertical="center"/>
    </xf>
    <xf numFmtId="2" fontId="1" fillId="0" borderId="0" xfId="2" applyNumberFormat="1" applyAlignment="1">
      <alignment horizontal="center"/>
    </xf>
    <xf numFmtId="2" fontId="12" fillId="0" borderId="2" xfId="2" applyNumberFormat="1" applyFont="1" applyBorder="1" applyAlignment="1">
      <alignment horizontal="center" vertical="center"/>
    </xf>
    <xf numFmtId="169" fontId="29" fillId="0" borderId="4" xfId="2" applyNumberFormat="1" applyFont="1" applyBorder="1" applyAlignment="1">
      <alignment horizontal="center" vertical="center"/>
    </xf>
    <xf numFmtId="169" fontId="29" fillId="0" borderId="40" xfId="2" applyNumberFormat="1" applyFont="1" applyBorder="1" applyAlignment="1">
      <alignment horizontal="center" vertical="center"/>
    </xf>
    <xf numFmtId="169" fontId="29" fillId="0" borderId="62" xfId="2" applyNumberFormat="1" applyFont="1" applyBorder="1" applyAlignment="1">
      <alignment horizontal="center" vertical="center"/>
    </xf>
    <xf numFmtId="164" fontId="12" fillId="0" borderId="63" xfId="2" applyFont="1" applyBorder="1" applyAlignment="1">
      <alignment horizontal="right" vertical="center"/>
    </xf>
    <xf numFmtId="169" fontId="1" fillId="0" borderId="65" xfId="2" applyNumberFormat="1" applyBorder="1" applyAlignment="1">
      <alignment horizontal="center"/>
    </xf>
    <xf numFmtId="164" fontId="16" fillId="0" borderId="49" xfId="2" applyFont="1" applyBorder="1" applyAlignment="1">
      <alignment vertical="center"/>
    </xf>
    <xf numFmtId="2" fontId="30" fillId="0" borderId="2" xfId="2" applyNumberFormat="1" applyFont="1" applyBorder="1" applyAlignment="1">
      <alignment horizontal="center" vertical="center"/>
    </xf>
    <xf numFmtId="2" fontId="30" fillId="0" borderId="4" xfId="2" applyNumberFormat="1" applyFont="1" applyBorder="1" applyAlignment="1">
      <alignment horizontal="center" vertical="center"/>
    </xf>
    <xf numFmtId="164" fontId="16" fillId="0" borderId="60" xfId="2" applyFont="1" applyBorder="1" applyAlignment="1">
      <alignment vertical="center"/>
    </xf>
    <xf numFmtId="2" fontId="30" fillId="0" borderId="25" xfId="2" applyNumberFormat="1" applyFont="1" applyBorder="1" applyAlignment="1">
      <alignment horizontal="center" vertical="center"/>
    </xf>
    <xf numFmtId="2" fontId="30" fillId="0" borderId="61" xfId="2" applyNumberFormat="1" applyFont="1" applyBorder="1" applyAlignment="1">
      <alignment horizontal="center" vertical="center"/>
    </xf>
    <xf numFmtId="164" fontId="1" fillId="0" borderId="66" xfId="2" applyBorder="1" applyAlignment="1">
      <alignment horizontal="center"/>
    </xf>
    <xf numFmtId="164" fontId="16" fillId="0" borderId="51" xfId="2" applyFont="1" applyBorder="1" applyAlignment="1">
      <alignment vertical="center"/>
    </xf>
    <xf numFmtId="2" fontId="30" fillId="0" borderId="6" xfId="2" applyNumberFormat="1" applyFont="1" applyBorder="1" applyAlignment="1">
      <alignment horizontal="center" vertical="center"/>
    </xf>
    <xf numFmtId="2" fontId="30" fillId="0" borderId="40" xfId="2" applyNumberFormat="1" applyFont="1" applyBorder="1" applyAlignment="1">
      <alignment horizontal="center" vertical="center"/>
    </xf>
    <xf numFmtId="164" fontId="16" fillId="0" borderId="67" xfId="2" applyFont="1" applyBorder="1" applyAlignment="1">
      <alignment vertical="center"/>
    </xf>
    <xf numFmtId="2" fontId="30" fillId="0" borderId="8" xfId="2" applyNumberFormat="1" applyFont="1" applyBorder="1" applyAlignment="1">
      <alignment horizontal="center" vertical="center"/>
    </xf>
    <xf numFmtId="2" fontId="30" fillId="0" borderId="10" xfId="2" applyNumberFormat="1" applyFont="1" applyBorder="1" applyAlignment="1">
      <alignment horizontal="center" vertical="center"/>
    </xf>
    <xf numFmtId="164" fontId="12" fillId="12" borderId="6" xfId="2" applyFont="1" applyFill="1" applyBorder="1" applyAlignment="1">
      <alignment vertical="center"/>
    </xf>
    <xf numFmtId="1" fontId="1" fillId="12" borderId="6" xfId="2" applyNumberFormat="1" applyFill="1" applyBorder="1"/>
    <xf numFmtId="20" fontId="31" fillId="12" borderId="6" xfId="2" applyNumberFormat="1" applyFont="1" applyFill="1" applyBorder="1" applyAlignment="1">
      <alignment horizontal="center"/>
    </xf>
    <xf numFmtId="164" fontId="1" fillId="0" borderId="0" xfId="2" applyAlignment="1">
      <alignment horizontal="left"/>
    </xf>
    <xf numFmtId="164" fontId="32" fillId="14" borderId="0" xfId="2" applyFont="1" applyFill="1"/>
    <xf numFmtId="164" fontId="1" fillId="15" borderId="0" xfId="2" applyFill="1" applyProtection="1">
      <protection locked="0"/>
    </xf>
    <xf numFmtId="164" fontId="16" fillId="0" borderId="0" xfId="2" applyFont="1" applyAlignment="1">
      <alignment vertical="top" wrapText="1"/>
    </xf>
    <xf numFmtId="20" fontId="12" fillId="0" borderId="37" xfId="2" applyNumberFormat="1" applyFont="1" applyBorder="1" applyAlignment="1">
      <alignment vertical="center"/>
    </xf>
    <xf numFmtId="167" fontId="12" fillId="0" borderId="68" xfId="2" applyNumberFormat="1" applyFont="1" applyBorder="1" applyAlignment="1">
      <alignment vertical="center"/>
    </xf>
    <xf numFmtId="167" fontId="12" fillId="0" borderId="37" xfId="2" applyNumberFormat="1" applyFont="1" applyBorder="1" applyAlignment="1">
      <alignment vertical="center"/>
    </xf>
    <xf numFmtId="167" fontId="12" fillId="0" borderId="19" xfId="2" applyNumberFormat="1" applyFont="1" applyBorder="1" applyAlignment="1">
      <alignment vertical="center"/>
    </xf>
    <xf numFmtId="1" fontId="1" fillId="0" borderId="0" xfId="2" applyNumberFormat="1" applyAlignment="1">
      <alignment horizontal="center"/>
    </xf>
    <xf numFmtId="165" fontId="1" fillId="15" borderId="0" xfId="2" applyNumberFormat="1" applyFill="1" applyProtection="1">
      <protection locked="0"/>
    </xf>
    <xf numFmtId="164" fontId="1" fillId="0" borderId="6" xfId="2" applyBorder="1"/>
    <xf numFmtId="166" fontId="1" fillId="0" borderId="6" xfId="2" applyNumberFormat="1" applyBorder="1" applyAlignment="1">
      <alignment horizontal="center"/>
    </xf>
    <xf numFmtId="2" fontId="1" fillId="0" borderId="6" xfId="2" applyNumberFormat="1" applyBorder="1" applyAlignment="1">
      <alignment horizontal="center"/>
    </xf>
    <xf numFmtId="166" fontId="12" fillId="16" borderId="25" xfId="2" applyNumberFormat="1" applyFont="1" applyFill="1" applyBorder="1" applyAlignment="1" applyProtection="1">
      <alignment horizontal="center" vertical="center"/>
      <protection locked="0"/>
    </xf>
    <xf numFmtId="9" fontId="0" fillId="0" borderId="0" xfId="0" applyNumberFormat="1"/>
    <xf numFmtId="166" fontId="36" fillId="0" borderId="25" xfId="2" applyNumberFormat="1" applyFont="1" applyBorder="1" applyAlignment="1" applyProtection="1">
      <alignment horizontal="center" vertical="center"/>
      <protection locked="0"/>
    </xf>
    <xf numFmtId="166" fontId="16" fillId="0" borderId="25" xfId="2" applyNumberFormat="1" applyFont="1" applyBorder="1" applyAlignment="1" applyProtection="1">
      <alignment horizontal="center" vertical="center"/>
      <protection locked="0"/>
    </xf>
    <xf numFmtId="169" fontId="16" fillId="0" borderId="26" xfId="2" applyNumberFormat="1" applyFont="1" applyBorder="1" applyAlignment="1" applyProtection="1">
      <alignment horizontal="center" vertical="center"/>
      <protection locked="0"/>
    </xf>
    <xf numFmtId="166" fontId="2" fillId="0" borderId="0" xfId="2" applyNumberFormat="1" applyFont="1" applyAlignment="1" applyProtection="1">
      <alignment horizontal="center"/>
      <protection locked="0"/>
    </xf>
    <xf numFmtId="166" fontId="2" fillId="0" borderId="0" xfId="2" applyNumberFormat="1" applyFont="1" applyProtection="1">
      <protection locked="0"/>
    </xf>
    <xf numFmtId="20" fontId="2" fillId="0" borderId="0" xfId="2" applyNumberFormat="1" applyFont="1"/>
    <xf numFmtId="164" fontId="2" fillId="0" borderId="0" xfId="2" applyFont="1" applyAlignment="1">
      <alignment horizontal="center" vertical="center"/>
    </xf>
    <xf numFmtId="0" fontId="1" fillId="0" borderId="0" xfId="2" applyNumberFormat="1"/>
    <xf numFmtId="2" fontId="1" fillId="0" borderId="0" xfId="2" applyNumberFormat="1"/>
    <xf numFmtId="166" fontId="16" fillId="11" borderId="46" xfId="2" applyNumberFormat="1" applyFont="1" applyFill="1" applyBorder="1" applyAlignment="1">
      <alignment horizontal="center" vertical="center"/>
    </xf>
    <xf numFmtId="166" fontId="16" fillId="11" borderId="47" xfId="2" applyNumberFormat="1" applyFont="1" applyFill="1" applyBorder="1" applyAlignment="1">
      <alignment horizontal="center" vertical="center"/>
    </xf>
    <xf numFmtId="164" fontId="32" fillId="13" borderId="0" xfId="2" applyFont="1" applyFill="1" applyAlignment="1">
      <alignment horizontal="center"/>
    </xf>
    <xf numFmtId="167" fontId="12" fillId="0" borderId="19" xfId="2" applyNumberFormat="1" applyFont="1" applyBorder="1" applyAlignment="1">
      <alignment horizontal="center" vertical="center"/>
    </xf>
    <xf numFmtId="167" fontId="12" fillId="0" borderId="22" xfId="2" applyNumberFormat="1" applyFont="1" applyBorder="1" applyAlignment="1">
      <alignment horizontal="center" vertical="center"/>
    </xf>
    <xf numFmtId="168" fontId="24" fillId="8" borderId="20" xfId="2" applyNumberFormat="1" applyFont="1" applyFill="1" applyBorder="1" applyAlignment="1">
      <alignment horizontal="center" vertical="center" wrapText="1"/>
    </xf>
    <xf numFmtId="168" fontId="24" fillId="8" borderId="23" xfId="2" applyNumberFormat="1" applyFont="1" applyFill="1" applyBorder="1" applyAlignment="1">
      <alignment horizontal="center" vertical="center" wrapText="1"/>
    </xf>
    <xf numFmtId="167" fontId="12" fillId="7" borderId="19" xfId="2" applyNumberFormat="1" applyFont="1" applyFill="1" applyBorder="1" applyAlignment="1">
      <alignment horizontal="center" vertical="center"/>
    </xf>
    <xf numFmtId="167" fontId="12" fillId="7" borderId="22" xfId="2" applyNumberFormat="1" applyFont="1" applyFill="1" applyBorder="1" applyAlignment="1">
      <alignment horizontal="center" vertical="center"/>
    </xf>
    <xf numFmtId="167" fontId="12" fillId="0" borderId="18" xfId="2" applyNumberFormat="1" applyFont="1" applyBorder="1" applyAlignment="1">
      <alignment horizontal="center" vertical="center"/>
    </xf>
    <xf numFmtId="2" fontId="23" fillId="0" borderId="13" xfId="2" applyNumberFormat="1" applyFont="1" applyBorder="1" applyAlignment="1">
      <alignment horizontal="center" vertical="center"/>
    </xf>
    <xf numFmtId="2" fontId="23" fillId="0" borderId="14" xfId="2" applyNumberFormat="1" applyFont="1" applyBorder="1" applyAlignment="1">
      <alignment horizontal="center" vertical="center"/>
    </xf>
    <xf numFmtId="2" fontId="23" fillId="0" borderId="15" xfId="2" applyNumberFormat="1" applyFont="1" applyBorder="1" applyAlignment="1">
      <alignment horizontal="center" vertical="center"/>
    </xf>
    <xf numFmtId="164" fontId="16" fillId="0" borderId="17" xfId="2" applyFont="1" applyBorder="1" applyAlignment="1">
      <alignment horizontal="left" vertical="top" wrapText="1"/>
    </xf>
    <xf numFmtId="164" fontId="16" fillId="0" borderId="21" xfId="2" applyFont="1" applyBorder="1" applyAlignment="1">
      <alignment horizontal="left" vertical="top" wrapText="1"/>
    </xf>
    <xf numFmtId="164" fontId="15" fillId="4" borderId="11" xfId="2" applyFont="1" applyFill="1" applyBorder="1" applyAlignment="1">
      <alignment horizontal="left" vertical="center"/>
    </xf>
    <xf numFmtId="164" fontId="15" fillId="4" borderId="11" xfId="2" applyFont="1" applyFill="1" applyBorder="1" applyAlignment="1">
      <alignment horizontal="center" vertical="center"/>
    </xf>
    <xf numFmtId="2" fontId="22" fillId="0" borderId="13" xfId="2" applyNumberFormat="1" applyFont="1" applyBorder="1" applyAlignment="1">
      <alignment horizontal="center" vertical="center"/>
    </xf>
    <xf numFmtId="2" fontId="22" fillId="0" borderId="14" xfId="2" applyNumberFormat="1" applyFont="1" applyBorder="1" applyAlignment="1">
      <alignment horizontal="center" vertical="center"/>
    </xf>
    <xf numFmtId="2" fontId="22" fillId="0" borderId="15" xfId="2" applyNumberFormat="1" applyFont="1" applyBorder="1" applyAlignment="1">
      <alignment horizontal="center" vertical="center"/>
    </xf>
    <xf numFmtId="164" fontId="4" fillId="0" borderId="0" xfId="2" applyFont="1" applyAlignment="1">
      <alignment horizontal="center" vertical="center" wrapText="1"/>
    </xf>
    <xf numFmtId="164" fontId="5" fillId="2" borderId="0" xfId="2" applyFont="1" applyFill="1" applyAlignment="1">
      <alignment horizontal="center" vertical="center"/>
    </xf>
    <xf numFmtId="164" fontId="4" fillId="0" borderId="1" xfId="2" applyFont="1" applyBorder="1" applyAlignment="1">
      <alignment horizontal="center" vertical="center"/>
    </xf>
    <xf numFmtId="164" fontId="4" fillId="0" borderId="7" xfId="2" applyFont="1" applyBorder="1" applyAlignment="1">
      <alignment horizontal="center" vertical="center"/>
    </xf>
    <xf numFmtId="164" fontId="4" fillId="0" borderId="3" xfId="2" applyFont="1" applyBorder="1" applyAlignment="1">
      <alignment horizontal="center" vertical="center"/>
    </xf>
    <xf numFmtId="164" fontId="4" fillId="0" borderId="9" xfId="2" applyFont="1" applyBorder="1" applyAlignment="1">
      <alignment horizontal="center" vertical="center"/>
    </xf>
    <xf numFmtId="164" fontId="1" fillId="0" borderId="5" xfId="2" applyBorder="1" applyAlignment="1">
      <alignment horizontal="center" textRotation="90"/>
    </xf>
  </cellXfs>
  <cellStyles count="5">
    <cellStyle name="Comma" xfId="1" builtinId="3"/>
    <cellStyle name="Normal" xfId="0" builtinId="0"/>
    <cellStyle name="Normal 2" xfId="2" xr:uid="{05DC82B3-C3D6-4E9B-9A38-11DCD6414B64}"/>
    <cellStyle name="Normal 2 2" xfId="3" xr:uid="{A7905A53-2DA5-4793-8AEC-3FAC0D82AB5A}"/>
    <cellStyle name="Normal 2 5" xfId="4" xr:uid="{DB9972DC-6349-4992-8A80-55A0D45E3D59}"/>
  </cellStyles>
  <dxfs count="4074"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51E2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965-49F2-BD8F-D1B23AB0E8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965-49F2-BD8F-D1B23AB0E8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965-49F2-BD8F-D1B23AB0E8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965-49F2-BD8F-D1B23AB0E89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965-49F2-BD8F-D1B23AB0E89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965-49F2-BD8F-D1B23AB0E89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EF9-40DF-A35E-3F29967C4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8D1-4626-965A-EEB149707D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8D1-4626-965A-EEB149707D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8D1-4626-965A-EEB149707D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8D1-4626-965A-EEB149707D4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8D1-4626-965A-EEB149707D4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48D1-4626-965A-EEB149707D4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4A6-4680-8062-98CECC908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B31-431C-BE47-2A92BA9679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B31-431C-BE47-2A92BA9679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B31-431C-BE47-2A92BA9679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B31-431C-BE47-2A92BA9679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B31-431C-BE47-2A92BA9679B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B31-431C-BE47-2A92BA9679B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FD-44DD-A85D-F466035B5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BF-4824-93B9-F5445FD5DD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BF-4824-93B9-F5445FD5DD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BF-4824-93B9-F5445FD5DD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BF-4824-93B9-F5445FD5DD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FBF-4824-93B9-F5445FD5DD3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1FBF-4824-93B9-F5445FD5DD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00-4265-8BD8-181EE11C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73E-43B3-921F-1E06DDEB0FD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73E-43B3-921F-1E06DDEB0FD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73E-43B3-921F-1E06DDEB0FD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73E-43B3-921F-1E06DDEB0FD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73E-43B3-921F-1E06DDEB0FD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B73E-43B3-921F-1E06DDEB0FD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C68-46FF-9111-A3DA46436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D82-4724-8601-64B47DAB14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82-4724-8601-64B47DAB14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82-4724-8601-64B47DAB14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D82-4724-8601-64B47DAB14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D82-4724-8601-64B47DAB14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6D82-4724-8601-64B47DAB147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203-4C3F-8A78-D9A5B33DA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E80-471C-BBD7-C0EF1ADF0C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E80-471C-BBD7-C0EF1ADF0C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E80-471C-BBD7-C0EF1ADF0C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E80-471C-BBD7-C0EF1ADF0CE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E80-471C-BBD7-C0EF1ADF0CE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E80-471C-BBD7-C0EF1ADF0CE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74D-402C-B388-A86E345C9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1B-4650-8DCD-489FE11FDD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1B-4650-8DCD-489FE11FDD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1B-4650-8DCD-489FE11FDD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1B-4650-8DCD-489FE11FDD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1B-4650-8DCD-489FE11FDDA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BB1B-4650-8DCD-489FE11FDDA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F1B-44D9-9325-BFB423DDB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0D-4EB1-8B2E-23BE56A9BA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10D-4EB1-8B2E-23BE56A9BA6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10D-4EB1-8B2E-23BE56A9BA6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10D-4EB1-8B2E-23BE56A9BA6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10D-4EB1-8B2E-23BE56A9BA6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410D-4EB1-8B2E-23BE56A9BA6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71C-4570-BBC1-F4FEA1E47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C01-4D7C-B240-9C5A1517C25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C01-4D7C-B240-9C5A1517C25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C01-4D7C-B240-9C5A1517C25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C01-4D7C-B240-9C5A1517C25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C01-4D7C-B240-9C5A1517C25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1C01-4D7C-B240-9C5A1517C25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D1-4C5D-8C90-6144FA03D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D6E-4030-BFE0-740C73B6BF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D6E-4030-BFE0-740C73B6BF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D6E-4030-BFE0-740C73B6BFB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D6E-4030-BFE0-740C73B6BFB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D6E-4030-BFE0-740C73B6BFB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8D6E-4030-BFE0-740C73B6BFB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074-4FFD-A681-E7B130AF1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542-417D-A7AD-49E3AAF3A6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542-417D-A7AD-49E3AAF3A65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542-417D-A7AD-49E3AAF3A65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542-417D-A7AD-49E3AAF3A65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542-417D-A7AD-49E3AAF3A65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A542-417D-A7AD-49E3AAF3A65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AED-475F-BE3E-0CE753D02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334-4AC9-B07A-E5EC220CF95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334-4AC9-B07A-E5EC220CF95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334-4AC9-B07A-E5EC220CF95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334-4AC9-B07A-E5EC220CF95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334-4AC9-B07A-E5EC220CF95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B334-4AC9-B07A-E5EC220CF95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A2A-45A9-9763-BAC2877F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25-440E-B215-CE9DCAF408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25-440E-B215-CE9DCAF4080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25-440E-B215-CE9DCAF4080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25-440E-B215-CE9DCAF4080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F25-440E-B215-CE9DCAF4080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1F25-440E-B215-CE9DCAF4080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350-4B05-A194-80BCB3AB7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922-473E-B0B3-D32EAEC09A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22-473E-B0B3-D32EAEC09A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922-473E-B0B3-D32EAEC09A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922-473E-B0B3-D32EAEC09A4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922-473E-B0B3-D32EAEC09A4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B922-473E-B0B3-D32EAEC09A4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D39-495A-9DBE-BBBAFE1EA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5D7-4B1C-8204-405D11FE04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5D7-4B1C-8204-405D11FE04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5D7-4B1C-8204-405D11FE04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5D7-4B1C-8204-405D11FE045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5D7-4B1C-8204-405D11FE045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5D7-4B1C-8204-405D11FE045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7F7-4241-8467-7CC9FC20B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10-46F4-A574-A8827CE72E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10-46F4-A574-A8827CE72E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10-46F4-A574-A8827CE72E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E10-46F4-A574-A8827CE72E3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E10-46F4-A574-A8827CE72E3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9E10-46F4-A574-A8827CE72E3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541-42A0-86AE-33F7F06D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A62-43AC-AF6C-A047F248A1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A62-43AC-AF6C-A047F248A1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A62-43AC-AF6C-A047F248A1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A62-43AC-AF6C-A047F248A1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A62-43AC-AF6C-A047F248A17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2A62-43AC-AF6C-A047F248A17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CE8-48C0-9047-88772DBA8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870-4C60-99C6-5856FF0D4B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870-4C60-99C6-5856FF0D4B6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870-4C60-99C6-5856FF0D4B6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870-4C60-99C6-5856FF0D4B6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870-4C60-99C6-5856FF0D4B6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B870-4C60-99C6-5856FF0D4B6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05E-4471-8274-F206E31B5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3F3-4479-9560-FC110C0084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3F3-4479-9560-FC110C0084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3F3-4479-9560-FC110C0084F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3F3-4479-9560-FC110C0084F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3F3-4479-9560-FC110C0084F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33F3-4479-9560-FC110C0084F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A58-4FA5-A842-DC4773ACB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41-4B67-93C8-5B35A09751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41-4B67-93C8-5B35A09751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D41-4B67-93C8-5B35A09751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D41-4B67-93C8-5B35A09751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D41-4B67-93C8-5B35A097514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D41-4B67-93C8-5B35A097514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15C-41E1-A30B-B5F98D98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C81-499B-84EA-314C53CBAD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C81-499B-84EA-314C53CBAD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C81-499B-84EA-314C53CBAD7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C81-499B-84EA-314C53CBAD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C81-499B-84EA-314C53CBAD7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0C81-499B-84EA-314C53CBAD7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E97-43E6-95E6-899B2DBD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C82-4B10-A383-1D7E31CC63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C82-4B10-A383-1D7E31CC63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C82-4B10-A383-1D7E31CC63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C82-4B10-A383-1D7E31CC63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C82-4B10-A383-1D7E31CC63F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4C82-4B10-A383-1D7E31CC63F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82-4D81-ACF1-9345C2C86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B3-427D-8A76-9A44E180FF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DB3-427D-8A76-9A44E180FF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DB3-427D-8A76-9A44E180FF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DB3-427D-8A76-9A44E180FF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DB3-427D-8A76-9A44E180FFA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DB3-427D-8A76-9A44E180FFA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FA7-455A-AEC7-1106EA2E9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0B-49B4-9093-86A947E3E1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0B-49B4-9093-86A947E3E1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F0B-49B4-9093-86A947E3E1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F0B-49B4-9093-86A947E3E1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F0B-49B4-9093-86A947E3E14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F0B-49B4-9093-86A947E3E14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D41-4DCC-9CC9-A9CD4429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665-482F-B945-AA7F3A91AC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665-482F-B945-AA7F3A91AC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665-482F-B945-AA7F3A91AC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665-482F-B945-AA7F3A91AC3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665-482F-B945-AA7F3A91AC3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6665-482F-B945-AA7F3A91AC3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65-435C-8A38-1D8210E4D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A72-4734-9516-3472C4878C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A72-4734-9516-3472C4878C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A72-4734-9516-3472C4878C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A72-4734-9516-3472C4878C4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A72-4734-9516-3472C4878C4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6A72-4734-9516-3472C4878C4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E3-4503-BD50-BC9196E83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C10-478C-81BC-E3AC834967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C10-478C-81BC-E3AC834967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C10-478C-81BC-E3AC834967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C10-478C-81BC-E3AC834967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C10-478C-81BC-E3AC834967E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CC10-478C-81BC-E3AC834967E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3A2-4CB7-8B1F-5BD92F9C3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905-4591-882F-ADD5BD3E89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905-4591-882F-ADD5BD3E89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905-4591-882F-ADD5BD3E89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905-4591-882F-ADD5BD3E89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905-4591-882F-ADD5BD3E895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8905-4591-882F-ADD5BD3E895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E29-48C1-AA0B-76CA64719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83C-47CA-AA83-CA37ED4394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83C-47CA-AA83-CA37ED4394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83C-47CA-AA83-CA37ED4394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83C-47CA-AA83-CA37ED4394E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83C-47CA-AA83-CA37ED4394E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A83C-47CA-AA83-CA37ED4394E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87E-455E-8394-5EF28634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345-4AB5-BCC9-01E0B6E985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345-4AB5-BCC9-01E0B6E985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45-4AB5-BCC9-01E0B6E985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45-4AB5-BCC9-01E0B6E985A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45-4AB5-BCC9-01E0B6E985A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7345-4AB5-BCC9-01E0B6E985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A8A-4448-A5BF-4AB43266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36-428D-81B6-AEC8306987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36-428D-81B6-AEC8306987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836-428D-81B6-AEC8306987B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836-428D-81B6-AEC8306987B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836-428D-81B6-AEC8306987B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836-428D-81B6-AEC8306987B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C27-4753-BE24-587FF4B13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Peak Demand(Inclusive of Export)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8C-4920-87E5-716FEAB79A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8C-4920-87E5-716FEAB79A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8C-4920-87E5-716FEAB79A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8C-4920-87E5-716FEAB79A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A8C-4920-87E5-716FEAB79A6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'[1]4'!$A$240:$A$244</c:f>
              <c:strCache>
                <c:ptCount val="5"/>
                <c:pt idx="0">
                  <c:v>IPP</c:v>
                </c:pt>
                <c:pt idx="1">
                  <c:v>NEA(RoR+PRoR)</c:v>
                </c:pt>
                <c:pt idx="2">
                  <c:v>KL1+KL2+KL3</c:v>
                </c:pt>
                <c:pt idx="3">
                  <c:v>Import</c:v>
                </c:pt>
                <c:pt idx="4">
                  <c:v>Export</c:v>
                </c:pt>
              </c:strCache>
            </c:strRef>
          </c:cat>
          <c:val>
            <c:numRef>
              <c:f>'[1]4'!$B$240:$B$244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1A8C-4920-87E5-716FEAB79A6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Load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'[1]4'!$S$242</c:f>
              <c:strCache>
                <c:ptCount val="1"/>
                <c:pt idx="0">
                  <c:v>T_Load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'[1]4'!$T$240:$AX$240</c:f>
              <c:numCache>
                <c:formatCode>General</c:formatCode>
                <c:ptCount val="31"/>
              </c:numCache>
            </c:numRef>
          </c:cat>
          <c:val>
            <c:numRef>
              <c:f>'[1]4'!$U$241:$AX$241</c:f>
              <c:numCache>
                <c:formatCode>General</c:formatCode>
                <c:ptCount val="30"/>
                <c:pt idx="0">
                  <c:v>4.1666666666666664E-2</c:v>
                </c:pt>
                <c:pt idx="1">
                  <c:v>8.3333333333333301E-2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0.20833333333333301</c:v>
                </c:pt>
                <c:pt idx="5">
                  <c:v>0.22916666666666666</c:v>
                </c:pt>
                <c:pt idx="6">
                  <c:v>0.25</c:v>
                </c:pt>
                <c:pt idx="7">
                  <c:v>0.27083333333333331</c:v>
                </c:pt>
                <c:pt idx="8">
                  <c:v>0.29166666666666669</c:v>
                </c:pt>
                <c:pt idx="9">
                  <c:v>0.3125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0.41666666666666702</c:v>
                </c:pt>
                <c:pt idx="13">
                  <c:v>0.45833333333333298</c:v>
                </c:pt>
                <c:pt idx="14">
                  <c:v>0.5</c:v>
                </c:pt>
                <c:pt idx="15">
                  <c:v>0.54166666666666696</c:v>
                </c:pt>
                <c:pt idx="16">
                  <c:v>0.58333333333333304</c:v>
                </c:pt>
                <c:pt idx="17">
                  <c:v>0.625</c:v>
                </c:pt>
                <c:pt idx="18">
                  <c:v>0.66666666666666696</c:v>
                </c:pt>
                <c:pt idx="19">
                  <c:v>0.70833333333333304</c:v>
                </c:pt>
                <c:pt idx="20">
                  <c:v>0.72916666666666663</c:v>
                </c:pt>
                <c:pt idx="21">
                  <c:v>0.75</c:v>
                </c:pt>
                <c:pt idx="22">
                  <c:v>0.77083333333333337</c:v>
                </c:pt>
                <c:pt idx="23">
                  <c:v>0.79166666666666663</c:v>
                </c:pt>
                <c:pt idx="24">
                  <c:v>0.8125</c:v>
                </c:pt>
                <c:pt idx="25">
                  <c:v>0.83333333333333337</c:v>
                </c:pt>
                <c:pt idx="26">
                  <c:v>0.85416666666666663</c:v>
                </c:pt>
                <c:pt idx="27">
                  <c:v>0.875</c:v>
                </c:pt>
                <c:pt idx="28">
                  <c:v>0.91666666666666696</c:v>
                </c:pt>
                <c:pt idx="29">
                  <c:v>0.95833333333333304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F0-4C79-B459-0168005AB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98560"/>
        <c:axId val="194500480"/>
      </c:lineChart>
      <c:catAx>
        <c:axId val="1944985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Time(Hrs.)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0480"/>
        <c:crosses val="autoZero"/>
        <c:auto val="1"/>
        <c:lblAlgn val="ctr"/>
        <c:lblOffset val="100"/>
        <c:noMultiLvlLbl val="0"/>
      </c:catAx>
      <c:valAx>
        <c:axId val="194500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Load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B0D1B9-B3E7-4132-83F5-A50A104F6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37F1A9-68C8-4BDE-B6AA-B62B702D3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05E8D5-75E7-48C9-BE11-5BF39DFF1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309B1D-21B4-4446-BCA4-9312EBDA2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F0FDA8-651F-4060-B677-5FE99973B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0B4AA7-B262-4E84-92B8-A1988BC050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AC8887-9E2A-4445-B686-6BC79293A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B03C1C-E126-4839-9553-DB6CE343D0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192CC1-8B10-452C-9B75-C7352A679A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A1FCD6-AD1A-4189-A595-A7AFA7178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D5315E-F34A-471B-88DC-4DC2143B89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9E14BA-8DAB-4A6F-87EA-784BF3AD8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743CFD-E402-4666-A75F-73B061378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9278F8-7035-46F4-AFF1-647B1696C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DDC9C4-DF34-4EF8-B0AF-F1D03F233F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1DFB2C-598A-40D7-A921-0BD55204E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A22D43-6A1D-435E-8469-ACE14053C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CF4E7F-DF9C-4C75-A953-0508ED0E0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2B7CC-D4C3-4554-B869-FD4EBABEC7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FF2D2-5DD1-4450-A731-576B3D21BA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1BA619-4378-4737-AAA2-976CEE6DE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28B2E4-8DFD-4154-A75B-912273E5CB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B37D61-2628-43A0-81AD-DE4A62C64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57AD4D-5654-4A12-984E-B04EFCC71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8822A2-A29C-4B47-AC68-3BDC698CA2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4EB0221-D7DF-49FA-A8E7-F84A689FE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9C5906-09AB-409B-B104-D2C8E7B04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8B4B22-CB62-48E1-8A78-2182C6666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C9B583-D8AA-4BED-BE8C-F52B1BC5C5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0721DF-F65A-4A20-8D7F-17ED32CF0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A0982E-1059-41CE-8634-2B655EF5F5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21D1E4-76FA-4AA3-9894-D9E0EF53B3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E9AF24-9F0B-47F4-A222-33E825BACB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658BCD-023F-4CA6-90EA-AA3DE0857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B40364-DB3A-416F-92EF-A7F8AC4F5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2D4093-EF4C-4665-B606-FDA41A2FB5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C138EC-3AB2-49EF-8BFC-8F1E2E4F2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21BF8E-0BD6-422F-9284-075798934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1C7F43-689A-43AE-98CA-64DF6C787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90B46F-D0E9-4027-8C04-61E2819B3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8FEB1A-0E6D-4E8B-A79D-CE7FFE32D8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0E0109-EAEA-4F03-8E97-11FBF2E495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85DBFF-1F64-428F-9957-95406651A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D8A72A-7761-41A0-9332-C9AF1ED8B6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E3006C-BCF0-471A-A357-8839A5596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FD691B-87A6-4B80-882D-6E27BAC47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8180CF-268D-40B6-B108-29FDE14113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35CD22-053A-4E3A-B8EF-11FADA8EA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20222C-565D-417D-BDE5-9CC7538AE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90539C-0945-4142-8D5D-DFB125EA5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A60E67-5697-4B02-9063-C18DDA0B3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2DAC69-EAB1-40FA-A9B8-68AA58A42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EB2928-535F-464E-94DF-C1FD6B9E4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477062-0166-428E-B035-7A81CCCB22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5FA354-08AD-45A4-A496-A55D49FC4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A813E0-FE25-4463-8026-ADD94589F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D77F7E-262F-49AB-83E9-A62F17502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A6F955-AE4A-43A9-B6C3-B411E94C2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FA904B-0E4B-4C48-9820-CF83F9550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50D3EA-F059-4C95-8B1A-61D9D2B1AD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90BDA5-D40D-46ED-A2AB-5A744DB79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830AF1-444B-4E6C-8F4F-AEABE141F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7BAD5D-88A8-4B3A-AAE1-AE73AFF075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E4A499-FC0E-46DC-823D-3F10258FA8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266705</xdr:colOff>
      <xdr:row>246</xdr:row>
      <xdr:rowOff>57156</xdr:rowOff>
    </xdr:from>
    <xdr:to>
      <xdr:col>15</xdr:col>
      <xdr:colOff>219074</xdr:colOff>
      <xdr:row>268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7DA497-A0D9-4C76-BE62-F9A0A77289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238124</xdr:colOff>
      <xdr:row>249</xdr:row>
      <xdr:rowOff>133356</xdr:rowOff>
    </xdr:from>
    <xdr:to>
      <xdr:col>32</xdr:col>
      <xdr:colOff>9524</xdr:colOff>
      <xdr:row>267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1C7767-0499-47F3-BEB3-6288C89D3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ATA\0%20Data_Collection%2075\Daily_Log_Sheets\Log%20Sheet%202079\Daily-Logsheet-2079-09-Poush.xlsx" TargetMode="External"/><Relationship Id="rId1" Type="http://schemas.openxmlformats.org/officeDocument/2006/relationships/externalLinkPath" Target="/DATA/0%20Data_Collection%2075/Daily_Log_Sheets/Log%20Sheet%202079/Daily-Logsheet-2079-09-Pous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magh1"/>
      <sheetName val="sample"/>
      <sheetName val="Feedback"/>
    </sheetNames>
    <sheetDataSet>
      <sheetData sheetId="0"/>
      <sheetData sheetId="1"/>
      <sheetData sheetId="2"/>
      <sheetData sheetId="3">
        <row r="240">
          <cell r="A240" t="str">
            <v>IPP</v>
          </cell>
          <cell r="B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</row>
        <row r="241">
          <cell r="A241" t="str">
            <v>NEA(RoR+PRoR)</v>
          </cell>
          <cell r="B241"/>
          <cell r="U241">
            <v>4.1666666666666664E-2</v>
          </cell>
          <cell r="V241">
            <v>8.3333333333333301E-2</v>
          </cell>
          <cell r="W241">
            <v>0.125</v>
          </cell>
          <cell r="X241">
            <v>0.16666666666666699</v>
          </cell>
          <cell r="Y241">
            <v>0.20833333333333301</v>
          </cell>
          <cell r="Z241">
            <v>0.22916666666666666</v>
          </cell>
          <cell r="AA241">
            <v>0.25</v>
          </cell>
          <cell r="AB241">
            <v>0.27083333333333331</v>
          </cell>
          <cell r="AC241">
            <v>0.29166666666666669</v>
          </cell>
          <cell r="AD241">
            <v>0.3125</v>
          </cell>
          <cell r="AE241">
            <v>0.33333333333333331</v>
          </cell>
          <cell r="AF241">
            <v>0.375</v>
          </cell>
          <cell r="AG241">
            <v>0.41666666666666702</v>
          </cell>
          <cell r="AH241">
            <v>0.45833333333333298</v>
          </cell>
          <cell r="AI241">
            <v>0.5</v>
          </cell>
          <cell r="AJ241">
            <v>0.54166666666666696</v>
          </cell>
          <cell r="AK241">
            <v>0.58333333333333304</v>
          </cell>
          <cell r="AL241">
            <v>0.625</v>
          </cell>
          <cell r="AM241">
            <v>0.66666666666666696</v>
          </cell>
          <cell r="AN241">
            <v>0.70833333333333304</v>
          </cell>
          <cell r="AO241">
            <v>0.72916666666666663</v>
          </cell>
          <cell r="AP241">
            <v>0.75</v>
          </cell>
          <cell r="AQ241">
            <v>0.77083333333333337</v>
          </cell>
          <cell r="AR241">
            <v>0.79166666666666663</v>
          </cell>
          <cell r="AS241">
            <v>0.8125</v>
          </cell>
          <cell r="AT241">
            <v>0.83333333333333337</v>
          </cell>
          <cell r="AU241">
            <v>0.85416666666666663</v>
          </cell>
          <cell r="AV241">
            <v>0.875</v>
          </cell>
          <cell r="AW241">
            <v>0.91666666666666696</v>
          </cell>
          <cell r="AX241">
            <v>0.95833333333333304</v>
          </cell>
        </row>
        <row r="242">
          <cell r="A242" t="str">
            <v>KL1+KL2+KL3</v>
          </cell>
          <cell r="B242"/>
          <cell r="S242" t="str">
            <v>T_Load</v>
          </cell>
        </row>
        <row r="243">
          <cell r="A243" t="str">
            <v>Import</v>
          </cell>
          <cell r="B243"/>
        </row>
        <row r="244">
          <cell r="A244" t="str">
            <v>Export</v>
          </cell>
          <cell r="B244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E1357-9DE0-471A-B023-68D34BE539E4}">
  <sheetPr codeName="Sheet1"/>
  <dimension ref="A1:CJ281"/>
  <sheetViews>
    <sheetView workbookViewId="0">
      <pane xSplit="1" ySplit="10" topLeftCell="B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M29" sqref="M29:AF2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2080/05/0</v>
      </c>
      <c r="C4" s="201"/>
      <c r="D4" s="201"/>
      <c r="E4" s="202" t="str">
        <f ca="1">"2079/"&amp;"12/"&amp;INT(MID(CELL("filename",G6),FIND("]",CELL("filename",G6))+1,200))</f>
        <v>2079/12/0</v>
      </c>
      <c r="F4" s="202"/>
      <c r="G4" s="202"/>
      <c r="H4" s="202" t="str">
        <f ca="1">TEXT(E4,"dddd")</f>
        <v>2079/12/0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11.4</v>
      </c>
      <c r="C5" s="30">
        <f t="shared" si="0"/>
        <v>22.4</v>
      </c>
      <c r="D5" s="30">
        <f t="shared" si="0"/>
        <v>11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6.4</v>
      </c>
      <c r="Z5" s="30">
        <f t="shared" si="0"/>
        <v>36</v>
      </c>
      <c r="AA5" s="30">
        <f t="shared" si="0"/>
        <v>40</v>
      </c>
      <c r="AB5" s="30">
        <f t="shared" si="0"/>
        <v>40</v>
      </c>
      <c r="AC5" s="30">
        <f t="shared" si="0"/>
        <v>30</v>
      </c>
      <c r="AD5" s="30">
        <f t="shared" si="0"/>
        <v>8</v>
      </c>
      <c r="AE5" s="30">
        <f t="shared" si="0"/>
        <v>2</v>
      </c>
      <c r="AF5" s="30">
        <f>B84</f>
        <v>3.6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1911MW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Load=1826</v>
      </c>
      <c r="B7" s="35">
        <f t="shared" ref="B7:AF7" si="1">B91</f>
        <v>1972.04</v>
      </c>
      <c r="C7" s="35">
        <f t="shared" si="1"/>
        <v>1869.44</v>
      </c>
      <c r="D7" s="35">
        <f t="shared" si="1"/>
        <v>1850.44</v>
      </c>
      <c r="E7" s="35">
        <f t="shared" si="1"/>
        <v>1870.84</v>
      </c>
      <c r="F7" s="35">
        <f t="shared" si="1"/>
        <v>1860.34</v>
      </c>
      <c r="G7" s="35">
        <f t="shared" si="1"/>
        <v>1877.34</v>
      </c>
      <c r="H7" s="35">
        <f t="shared" si="1"/>
        <v>1866.64</v>
      </c>
      <c r="I7" s="35">
        <f t="shared" si="1"/>
        <v>1865.8400000000001</v>
      </c>
      <c r="J7" s="35">
        <f t="shared" si="1"/>
        <v>1860.14</v>
      </c>
      <c r="K7" s="35">
        <f t="shared" si="1"/>
        <v>1907.14</v>
      </c>
      <c r="L7" s="35">
        <f t="shared" si="1"/>
        <v>1908.04</v>
      </c>
      <c r="M7" s="35">
        <f t="shared" si="1"/>
        <v>1910.84</v>
      </c>
      <c r="N7" s="35">
        <f>N91</f>
        <v>1843.34</v>
      </c>
      <c r="O7" s="35">
        <f t="shared" si="1"/>
        <v>1905.3400000000001</v>
      </c>
      <c r="P7" s="35">
        <f t="shared" si="1"/>
        <v>1856.44</v>
      </c>
      <c r="Q7" s="35">
        <f t="shared" si="1"/>
        <v>1878.3400000000001</v>
      </c>
      <c r="R7" s="35">
        <f t="shared" si="1"/>
        <v>1879.34</v>
      </c>
      <c r="S7" s="35">
        <f t="shared" si="1"/>
        <v>1878.1399999999999</v>
      </c>
      <c r="T7" s="35">
        <f t="shared" si="1"/>
        <v>1826.44</v>
      </c>
      <c r="U7" s="35">
        <f t="shared" si="1"/>
        <v>1832.8400000000001</v>
      </c>
      <c r="V7" s="35">
        <f t="shared" si="1"/>
        <v>1842.94</v>
      </c>
      <c r="W7" s="35">
        <f t="shared" si="1"/>
        <v>1841.8400000000001</v>
      </c>
      <c r="X7" s="35">
        <f t="shared" si="1"/>
        <v>1965.5400000000002</v>
      </c>
      <c r="Y7" s="35">
        <f t="shared" si="1"/>
        <v>1964.1400000000003</v>
      </c>
      <c r="Z7" s="35">
        <f t="shared" si="1"/>
        <v>2072.04</v>
      </c>
      <c r="AA7" s="35">
        <f t="shared" si="1"/>
        <v>2101.64</v>
      </c>
      <c r="AB7" s="35">
        <f t="shared" si="1"/>
        <v>2039.44</v>
      </c>
      <c r="AC7" s="35">
        <f t="shared" si="1"/>
        <v>2065.14</v>
      </c>
      <c r="AD7" s="35">
        <f t="shared" si="1"/>
        <v>2033.1399999999999</v>
      </c>
      <c r="AE7" s="35">
        <f t="shared" si="1"/>
        <v>2011.1399999999999</v>
      </c>
      <c r="AF7" s="35">
        <f t="shared" si="1"/>
        <v>2005.1399999999999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90.6</v>
      </c>
      <c r="C11" s="45">
        <v>61</v>
      </c>
      <c r="D11" s="45">
        <v>61</v>
      </c>
      <c r="E11" s="45">
        <v>61</v>
      </c>
      <c r="F11" s="45">
        <v>61.3</v>
      </c>
      <c r="G11" s="45">
        <v>82.6</v>
      </c>
      <c r="H11" s="45">
        <v>82.5</v>
      </c>
      <c r="I11" s="45">
        <v>82.5</v>
      </c>
      <c r="J11" s="45">
        <v>83.1</v>
      </c>
      <c r="K11" s="45">
        <v>83.1</v>
      </c>
      <c r="L11" s="45">
        <v>84</v>
      </c>
      <c r="M11" s="45">
        <v>84</v>
      </c>
      <c r="N11" s="45">
        <v>90</v>
      </c>
      <c r="O11" s="45">
        <v>90</v>
      </c>
      <c r="P11" s="45">
        <v>60.4</v>
      </c>
      <c r="Q11" s="45">
        <v>60.4</v>
      </c>
      <c r="R11" s="45">
        <v>60.5</v>
      </c>
      <c r="S11" s="45">
        <v>60.5</v>
      </c>
      <c r="T11" s="45">
        <v>30.2</v>
      </c>
      <c r="U11" s="45">
        <v>60.3</v>
      </c>
      <c r="V11" s="45">
        <v>60.3</v>
      </c>
      <c r="W11" s="45">
        <v>60.3</v>
      </c>
      <c r="X11" s="45">
        <v>60.3</v>
      </c>
      <c r="Y11" s="45">
        <v>60.3</v>
      </c>
      <c r="Z11" s="45">
        <v>60.3</v>
      </c>
      <c r="AA11" s="45">
        <v>60.3</v>
      </c>
      <c r="AB11" s="45">
        <v>60.3</v>
      </c>
      <c r="AC11" s="45">
        <v>86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90.6</v>
      </c>
      <c r="AI11" s="48">
        <f t="shared" ref="AI11:AI76" si="3">MIN(B11:AF11)</f>
        <v>30.2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8</v>
      </c>
      <c r="C12" s="45">
        <v>8</v>
      </c>
      <c r="D12" s="45">
        <v>8</v>
      </c>
      <c r="E12" s="45">
        <v>8</v>
      </c>
      <c r="F12" s="45">
        <v>8</v>
      </c>
      <c r="G12" s="45">
        <v>8</v>
      </c>
      <c r="H12" s="45">
        <v>8</v>
      </c>
      <c r="I12" s="45">
        <v>8</v>
      </c>
      <c r="J12" s="45">
        <v>8</v>
      </c>
      <c r="K12" s="45">
        <v>8</v>
      </c>
      <c r="L12" s="45">
        <v>8</v>
      </c>
      <c r="M12" s="45">
        <v>8</v>
      </c>
      <c r="N12" s="45">
        <v>12</v>
      </c>
      <c r="O12" s="45">
        <v>9</v>
      </c>
      <c r="P12" s="45">
        <v>9</v>
      </c>
      <c r="Q12" s="45">
        <v>9</v>
      </c>
      <c r="R12" s="45">
        <v>9</v>
      </c>
      <c r="S12" s="45">
        <v>9</v>
      </c>
      <c r="T12" s="45">
        <v>13</v>
      </c>
      <c r="U12" s="45">
        <v>9</v>
      </c>
      <c r="V12" s="45">
        <v>9</v>
      </c>
      <c r="W12" s="45">
        <v>9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8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54.7</v>
      </c>
      <c r="C13" s="45">
        <v>30</v>
      </c>
      <c r="D13" s="45">
        <v>0</v>
      </c>
      <c r="E13" s="45">
        <v>54.8</v>
      </c>
      <c r="F13" s="45">
        <v>54.7</v>
      </c>
      <c r="G13" s="45">
        <v>54.7</v>
      </c>
      <c r="H13" s="45">
        <v>54.7</v>
      </c>
      <c r="I13" s="45">
        <v>54.7</v>
      </c>
      <c r="J13" s="45">
        <v>54.7</v>
      </c>
      <c r="K13" s="45">
        <v>54.7</v>
      </c>
      <c r="L13" s="45">
        <v>54.7</v>
      </c>
      <c r="M13" s="45">
        <v>54.7</v>
      </c>
      <c r="N13" s="45">
        <v>54.7</v>
      </c>
      <c r="O13" s="45">
        <v>54.7</v>
      </c>
      <c r="P13" s="45">
        <v>54.7</v>
      </c>
      <c r="Q13" s="45">
        <v>54.7</v>
      </c>
      <c r="R13" s="45">
        <v>54.8</v>
      </c>
      <c r="S13" s="45">
        <v>54.8</v>
      </c>
      <c r="T13" s="45">
        <v>54.8</v>
      </c>
      <c r="U13" s="45">
        <v>54.8</v>
      </c>
      <c r="V13" s="45">
        <v>54.8</v>
      </c>
      <c r="W13" s="45">
        <v>54.8</v>
      </c>
      <c r="X13" s="45">
        <v>54.8</v>
      </c>
      <c r="Y13" s="45">
        <v>54.8</v>
      </c>
      <c r="Z13" s="45">
        <v>54.8</v>
      </c>
      <c r="AA13" s="45">
        <v>54.8</v>
      </c>
      <c r="AB13" s="45">
        <v>54.8</v>
      </c>
      <c r="AC13" s="45">
        <v>54.8</v>
      </c>
      <c r="AD13" s="45">
        <v>54.8</v>
      </c>
      <c r="AE13" s="45">
        <v>54.8</v>
      </c>
      <c r="AF13" s="45">
        <v>54.8</v>
      </c>
      <c r="AG13" s="46">
        <v>52.4</v>
      </c>
      <c r="AH13" s="47">
        <f t="shared" si="2"/>
        <v>54.8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50.6</v>
      </c>
      <c r="D14" s="58">
        <v>50.6</v>
      </c>
      <c r="E14" s="58">
        <v>50.6</v>
      </c>
      <c r="F14" s="58">
        <v>50.6</v>
      </c>
      <c r="G14" s="58">
        <v>50.6</v>
      </c>
      <c r="H14" s="58">
        <v>50.6</v>
      </c>
      <c r="I14" s="58">
        <v>50.6</v>
      </c>
      <c r="J14" s="58">
        <v>50.6</v>
      </c>
      <c r="K14" s="58">
        <v>50.6</v>
      </c>
      <c r="L14" s="58">
        <v>50.6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50.6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46</v>
      </c>
      <c r="E15" s="45">
        <v>46</v>
      </c>
      <c r="F15" s="45">
        <v>46</v>
      </c>
      <c r="G15" s="45">
        <v>46</v>
      </c>
      <c r="H15" s="45">
        <v>46</v>
      </c>
      <c r="I15" s="45">
        <v>46</v>
      </c>
      <c r="J15" s="45">
        <v>46</v>
      </c>
      <c r="K15" s="45">
        <v>46</v>
      </c>
      <c r="L15" s="45">
        <v>46</v>
      </c>
      <c r="M15" s="45">
        <v>46</v>
      </c>
      <c r="N15" s="45">
        <v>46</v>
      </c>
      <c r="O15" s="45">
        <v>45.8</v>
      </c>
      <c r="P15" s="45">
        <v>45.8</v>
      </c>
      <c r="Q15" s="45">
        <v>45.8</v>
      </c>
      <c r="R15" s="45">
        <v>45.8</v>
      </c>
      <c r="S15" s="45">
        <v>45.8</v>
      </c>
      <c r="T15" s="45">
        <v>45.8</v>
      </c>
      <c r="U15" s="45">
        <v>45.8</v>
      </c>
      <c r="V15" s="45">
        <v>45.8</v>
      </c>
      <c r="W15" s="45">
        <v>45.8</v>
      </c>
      <c r="X15" s="45">
        <v>45.8</v>
      </c>
      <c r="Y15" s="45">
        <v>45.8</v>
      </c>
      <c r="Z15" s="45">
        <v>45.8</v>
      </c>
      <c r="AA15" s="45">
        <v>45.8</v>
      </c>
      <c r="AB15" s="45">
        <v>45.8</v>
      </c>
      <c r="AC15" s="45">
        <v>45.8</v>
      </c>
      <c r="AD15" s="45">
        <v>45.8</v>
      </c>
      <c r="AE15" s="45">
        <v>45.8</v>
      </c>
      <c r="AF15" s="45">
        <v>45.8</v>
      </c>
      <c r="AG15" s="49">
        <v>45</v>
      </c>
      <c r="AH15" s="47">
        <f t="shared" si="2"/>
        <v>46</v>
      </c>
      <c r="AI15" s="48">
        <f t="shared" si="3"/>
        <v>45.8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33</v>
      </c>
      <c r="C17" s="45">
        <v>28</v>
      </c>
      <c r="D17" s="45">
        <v>28</v>
      </c>
      <c r="E17" s="45">
        <v>29.5</v>
      </c>
      <c r="F17" s="45">
        <v>29</v>
      </c>
      <c r="G17" s="45">
        <v>29</v>
      </c>
      <c r="H17" s="45">
        <v>29</v>
      </c>
      <c r="I17" s="45">
        <v>29</v>
      </c>
      <c r="J17" s="45">
        <v>29.3</v>
      </c>
      <c r="K17" s="45">
        <v>29.3</v>
      </c>
      <c r="L17" s="45">
        <v>29.3</v>
      </c>
      <c r="M17" s="45">
        <v>29.3</v>
      </c>
      <c r="N17" s="45">
        <v>29.3</v>
      </c>
      <c r="O17" s="45">
        <v>29.5</v>
      </c>
      <c r="P17" s="45">
        <v>29.5</v>
      </c>
      <c r="Q17" s="45">
        <v>29.5</v>
      </c>
      <c r="R17" s="45">
        <v>29.5</v>
      </c>
      <c r="S17" s="45">
        <v>29.5</v>
      </c>
      <c r="T17" s="45">
        <v>29.5</v>
      </c>
      <c r="U17" s="45">
        <v>29.5</v>
      </c>
      <c r="V17" s="45">
        <v>29.5</v>
      </c>
      <c r="W17" s="45">
        <v>29.5</v>
      </c>
      <c r="X17" s="45">
        <v>29.5</v>
      </c>
      <c r="Y17" s="45">
        <v>29.5</v>
      </c>
      <c r="Z17" s="45">
        <v>36.200000000000003</v>
      </c>
      <c r="AA17" s="45">
        <v>36.200000000000003</v>
      </c>
      <c r="AB17" s="45">
        <v>0</v>
      </c>
      <c r="AC17" s="45">
        <v>0</v>
      </c>
      <c r="AD17" s="45">
        <v>0</v>
      </c>
      <c r="AE17" s="45">
        <v>0</v>
      </c>
      <c r="AF17" s="45">
        <v>0</v>
      </c>
      <c r="AG17" s="49">
        <v>42</v>
      </c>
      <c r="AH17" s="47">
        <f t="shared" si="2"/>
        <v>36.200000000000003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5</v>
      </c>
      <c r="E20" s="45">
        <v>5.7</v>
      </c>
      <c r="F20" s="45">
        <v>5.7</v>
      </c>
      <c r="G20" s="45">
        <v>5.7</v>
      </c>
      <c r="H20" s="45">
        <v>5.7</v>
      </c>
      <c r="I20" s="45">
        <v>5.7</v>
      </c>
      <c r="J20" s="45">
        <v>5.7</v>
      </c>
      <c r="K20" s="45">
        <v>5.7</v>
      </c>
      <c r="L20" s="45">
        <v>5.7</v>
      </c>
      <c r="M20" s="45">
        <v>10</v>
      </c>
      <c r="N20" s="45">
        <v>10</v>
      </c>
      <c r="O20" s="45">
        <v>5.8</v>
      </c>
      <c r="P20" s="45">
        <v>5.8</v>
      </c>
      <c r="Q20" s="45">
        <v>5.8</v>
      </c>
      <c r="R20" s="45">
        <v>5.8</v>
      </c>
      <c r="S20" s="45">
        <v>5.8</v>
      </c>
      <c r="T20" s="45">
        <v>14.8</v>
      </c>
      <c r="U20" s="45">
        <v>5</v>
      </c>
      <c r="V20" s="45">
        <v>5</v>
      </c>
      <c r="W20" s="45">
        <v>5</v>
      </c>
      <c r="X20" s="45">
        <v>15</v>
      </c>
      <c r="Y20" s="45">
        <v>15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30</v>
      </c>
      <c r="AF20" s="45">
        <v>30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24.8</v>
      </c>
      <c r="C21" s="45">
        <v>24.8</v>
      </c>
      <c r="D21" s="45">
        <v>24.8</v>
      </c>
      <c r="E21" s="45">
        <v>24.9</v>
      </c>
      <c r="F21" s="45">
        <v>24.8</v>
      </c>
      <c r="G21" s="45">
        <v>24.8</v>
      </c>
      <c r="H21" s="45">
        <v>24.8</v>
      </c>
      <c r="I21" s="45">
        <v>24.8</v>
      </c>
      <c r="J21" s="45">
        <v>24.8</v>
      </c>
      <c r="K21" s="45">
        <v>24.8</v>
      </c>
      <c r="L21" s="45">
        <v>24.8</v>
      </c>
      <c r="M21" s="45">
        <v>24.8</v>
      </c>
      <c r="N21" s="45">
        <v>24.8</v>
      </c>
      <c r="O21" s="45">
        <v>24.8</v>
      </c>
      <c r="P21" s="45">
        <v>24.8</v>
      </c>
      <c r="Q21" s="45">
        <v>24.8</v>
      </c>
      <c r="R21" s="45">
        <v>24.9</v>
      </c>
      <c r="S21" s="45">
        <v>24.9</v>
      </c>
      <c r="T21" s="45">
        <v>20.8</v>
      </c>
      <c r="U21" s="45">
        <v>20.8</v>
      </c>
      <c r="V21" s="45">
        <v>20.8</v>
      </c>
      <c r="W21" s="45">
        <v>20.8</v>
      </c>
      <c r="X21" s="45">
        <v>20.8</v>
      </c>
      <c r="Y21" s="45">
        <v>20.8</v>
      </c>
      <c r="Z21" s="45">
        <v>33.1</v>
      </c>
      <c r="AA21" s="45">
        <v>33.1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20.8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28.2</v>
      </c>
      <c r="C22" s="45">
        <v>28.2</v>
      </c>
      <c r="D22" s="45">
        <v>28.2</v>
      </c>
      <c r="E22" s="45">
        <v>28.2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28.1</v>
      </c>
      <c r="S22" s="45">
        <v>28.1</v>
      </c>
      <c r="T22" s="45">
        <v>0</v>
      </c>
      <c r="U22" s="45">
        <v>0</v>
      </c>
      <c r="V22" s="45">
        <v>0</v>
      </c>
      <c r="W22" s="45">
        <v>0</v>
      </c>
      <c r="X22" s="45">
        <v>0</v>
      </c>
      <c r="Y22" s="45">
        <v>0</v>
      </c>
      <c r="Z22" s="45">
        <v>28.3</v>
      </c>
      <c r="AA22" s="45">
        <v>28.3</v>
      </c>
      <c r="AB22" s="45">
        <v>28.3</v>
      </c>
      <c r="AC22" s="45">
        <v>28.3</v>
      </c>
      <c r="AD22" s="45">
        <v>28.3</v>
      </c>
      <c r="AE22" s="45">
        <v>28.3</v>
      </c>
      <c r="AF22" s="45">
        <v>28.3</v>
      </c>
      <c r="AG22" s="49">
        <v>28</v>
      </c>
      <c r="AH22" s="47">
        <f t="shared" si="2"/>
        <v>28.3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3</v>
      </c>
      <c r="C23" s="45">
        <v>3</v>
      </c>
      <c r="D23" s="45">
        <v>3</v>
      </c>
      <c r="E23" s="45">
        <v>3</v>
      </c>
      <c r="F23" s="45">
        <v>3</v>
      </c>
      <c r="G23" s="45">
        <v>3</v>
      </c>
      <c r="H23" s="45">
        <v>3</v>
      </c>
      <c r="I23" s="45">
        <v>3</v>
      </c>
      <c r="J23" s="45">
        <v>3</v>
      </c>
      <c r="K23" s="45">
        <v>3</v>
      </c>
      <c r="L23" s="45">
        <v>3</v>
      </c>
      <c r="M23" s="45">
        <v>3</v>
      </c>
      <c r="N23" s="45">
        <v>3</v>
      </c>
      <c r="O23" s="45">
        <v>4.5</v>
      </c>
      <c r="P23" s="45">
        <v>4.5</v>
      </c>
      <c r="Q23" s="45">
        <v>4.5</v>
      </c>
      <c r="R23" s="45">
        <v>4.5</v>
      </c>
      <c r="S23" s="45">
        <v>4.5</v>
      </c>
      <c r="T23" s="45">
        <v>4.5</v>
      </c>
      <c r="U23" s="45">
        <v>4.5</v>
      </c>
      <c r="V23" s="45">
        <v>4.5</v>
      </c>
      <c r="W23" s="45">
        <v>4.5</v>
      </c>
      <c r="X23" s="45">
        <v>13.5</v>
      </c>
      <c r="Y23" s="45">
        <v>13.5</v>
      </c>
      <c r="Z23" s="45">
        <v>27</v>
      </c>
      <c r="AA23" s="45">
        <v>27</v>
      </c>
      <c r="AB23" s="45">
        <v>27</v>
      </c>
      <c r="AC23" s="45">
        <v>27</v>
      </c>
      <c r="AD23" s="45">
        <v>13</v>
      </c>
      <c r="AE23" s="45">
        <v>13</v>
      </c>
      <c r="AF23" s="45">
        <v>13</v>
      </c>
      <c r="AG23" s="51">
        <v>30</v>
      </c>
      <c r="AH23" s="47">
        <f t="shared" si="2"/>
        <v>27</v>
      </c>
      <c r="AI23" s="48">
        <f t="shared" si="3"/>
        <v>3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24.2</v>
      </c>
      <c r="C24" s="45">
        <v>24.2</v>
      </c>
      <c r="D24" s="45">
        <v>24.2</v>
      </c>
      <c r="E24" s="45">
        <v>24.2</v>
      </c>
      <c r="F24" s="45">
        <v>24.2</v>
      </c>
      <c r="G24" s="45">
        <v>24.2</v>
      </c>
      <c r="H24" s="45">
        <v>24.2</v>
      </c>
      <c r="I24" s="45">
        <v>24.2</v>
      </c>
      <c r="J24" s="45">
        <v>24.2</v>
      </c>
      <c r="K24" s="45">
        <v>24.2</v>
      </c>
      <c r="L24" s="45">
        <v>24.2</v>
      </c>
      <c r="M24" s="45">
        <v>24.2</v>
      </c>
      <c r="N24" s="45">
        <v>24.2</v>
      </c>
      <c r="O24" s="45">
        <v>25.8</v>
      </c>
      <c r="P24" s="45">
        <v>25.8</v>
      </c>
      <c r="Q24" s="45">
        <v>25.8</v>
      </c>
      <c r="R24" s="45">
        <v>26.1</v>
      </c>
      <c r="S24" s="45">
        <v>26.1</v>
      </c>
      <c r="T24" s="45">
        <v>26.1</v>
      </c>
      <c r="U24" s="45">
        <v>26.1</v>
      </c>
      <c r="V24" s="45">
        <v>26.1</v>
      </c>
      <c r="W24" s="45">
        <v>26.1</v>
      </c>
      <c r="X24" s="45">
        <v>26.1</v>
      </c>
      <c r="Y24" s="45">
        <v>26.1</v>
      </c>
      <c r="Z24" s="45">
        <v>26.1</v>
      </c>
      <c r="AA24" s="45">
        <v>26.1</v>
      </c>
      <c r="AB24" s="45">
        <v>26.1</v>
      </c>
      <c r="AC24" s="45">
        <v>26.1</v>
      </c>
      <c r="AD24" s="45">
        <v>26.1</v>
      </c>
      <c r="AE24" s="45">
        <v>26.1</v>
      </c>
      <c r="AF24" s="45">
        <v>26.1</v>
      </c>
      <c r="AG24" s="49">
        <v>25</v>
      </c>
      <c r="AH24" s="47">
        <f t="shared" si="2"/>
        <v>26.1</v>
      </c>
      <c r="AI24" s="48">
        <f t="shared" si="3"/>
        <v>24.2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22</v>
      </c>
      <c r="N26" s="45">
        <v>22</v>
      </c>
      <c r="O26" s="45">
        <v>22</v>
      </c>
      <c r="P26" s="45">
        <v>22</v>
      </c>
      <c r="Q26" s="45">
        <v>22</v>
      </c>
      <c r="R26" s="45">
        <v>22</v>
      </c>
      <c r="S26" s="45">
        <v>22</v>
      </c>
      <c r="T26" s="45">
        <v>22</v>
      </c>
      <c r="U26" s="45">
        <v>22</v>
      </c>
      <c r="V26" s="45">
        <v>22</v>
      </c>
      <c r="W26" s="45">
        <v>22</v>
      </c>
      <c r="X26" s="45">
        <v>22</v>
      </c>
      <c r="Y26" s="45">
        <v>22</v>
      </c>
      <c r="Z26" s="45">
        <v>22</v>
      </c>
      <c r="AA26" s="45">
        <v>22</v>
      </c>
      <c r="AB26" s="45">
        <v>22</v>
      </c>
      <c r="AC26" s="45">
        <v>22</v>
      </c>
      <c r="AD26" s="45">
        <v>22</v>
      </c>
      <c r="AE26" s="45">
        <v>22</v>
      </c>
      <c r="AF26" s="45">
        <v>22</v>
      </c>
      <c r="AG26" s="49">
        <v>25</v>
      </c>
      <c r="AH26" s="47">
        <f t="shared" si="2"/>
        <v>25</v>
      </c>
      <c r="AI26" s="48">
        <f t="shared" si="3"/>
        <v>22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3</v>
      </c>
      <c r="C27" s="45">
        <v>3</v>
      </c>
      <c r="D27" s="45">
        <v>3</v>
      </c>
      <c r="E27" s="45">
        <v>3</v>
      </c>
      <c r="F27" s="45">
        <v>3</v>
      </c>
      <c r="G27" s="45">
        <v>3</v>
      </c>
      <c r="H27" s="45">
        <v>3</v>
      </c>
      <c r="I27" s="45">
        <v>3</v>
      </c>
      <c r="J27" s="45">
        <v>3</v>
      </c>
      <c r="K27" s="45">
        <v>3</v>
      </c>
      <c r="L27" s="45">
        <v>3</v>
      </c>
      <c r="M27" s="45">
        <v>3</v>
      </c>
      <c r="N27" s="45">
        <v>3</v>
      </c>
      <c r="O27" s="45">
        <v>4</v>
      </c>
      <c r="P27" s="45">
        <v>4</v>
      </c>
      <c r="Q27" s="45">
        <v>4</v>
      </c>
      <c r="R27" s="45">
        <v>4</v>
      </c>
      <c r="S27" s="45">
        <v>4</v>
      </c>
      <c r="T27" s="45">
        <v>12.5</v>
      </c>
      <c r="U27" s="45">
        <v>4.5</v>
      </c>
      <c r="V27" s="45">
        <v>4.5</v>
      </c>
      <c r="W27" s="45">
        <v>4.5</v>
      </c>
      <c r="X27" s="45">
        <v>12.5</v>
      </c>
      <c r="Y27" s="45">
        <v>12.5</v>
      </c>
      <c r="Z27" s="45">
        <v>25</v>
      </c>
      <c r="AA27" s="45">
        <v>25</v>
      </c>
      <c r="AB27" s="45">
        <v>25</v>
      </c>
      <c r="AC27" s="45">
        <v>25</v>
      </c>
      <c r="AD27" s="45">
        <v>13</v>
      </c>
      <c r="AE27" s="45">
        <v>13</v>
      </c>
      <c r="AF27" s="45">
        <v>13</v>
      </c>
      <c r="AG27" s="49">
        <v>25</v>
      </c>
      <c r="AH27" s="47">
        <f t="shared" si="2"/>
        <v>25</v>
      </c>
      <c r="AI27" s="48">
        <f t="shared" si="3"/>
        <v>3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</v>
      </c>
      <c r="C28" s="45">
        <v>24</v>
      </c>
      <c r="D28" s="45">
        <v>24</v>
      </c>
      <c r="E28" s="45">
        <v>24</v>
      </c>
      <c r="F28" s="45">
        <v>24</v>
      </c>
      <c r="G28" s="45">
        <v>24</v>
      </c>
      <c r="H28" s="45">
        <v>24</v>
      </c>
      <c r="I28" s="45">
        <v>24</v>
      </c>
      <c r="J28" s="45">
        <v>24</v>
      </c>
      <c r="K28" s="45">
        <v>24</v>
      </c>
      <c r="L28" s="45">
        <v>24</v>
      </c>
      <c r="M28" s="45">
        <v>24</v>
      </c>
      <c r="N28" s="45">
        <v>24</v>
      </c>
      <c r="O28" s="45">
        <v>24</v>
      </c>
      <c r="P28" s="45">
        <v>24</v>
      </c>
      <c r="Q28" s="45">
        <v>24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0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7</v>
      </c>
      <c r="C30" s="45">
        <v>7</v>
      </c>
      <c r="D30" s="45">
        <v>7</v>
      </c>
      <c r="E30" s="45">
        <v>7</v>
      </c>
      <c r="F30" s="45">
        <v>7</v>
      </c>
      <c r="G30" s="45">
        <v>7</v>
      </c>
      <c r="H30" s="45">
        <v>7</v>
      </c>
      <c r="I30" s="45">
        <v>7</v>
      </c>
      <c r="J30" s="45">
        <v>7</v>
      </c>
      <c r="K30" s="45">
        <v>7</v>
      </c>
      <c r="L30" s="45">
        <v>7</v>
      </c>
      <c r="M30" s="45">
        <v>7</v>
      </c>
      <c r="N30" s="45">
        <v>7</v>
      </c>
      <c r="O30" s="45">
        <v>7</v>
      </c>
      <c r="P30" s="45">
        <v>7</v>
      </c>
      <c r="Q30" s="45">
        <v>7</v>
      </c>
      <c r="R30" s="45">
        <v>7</v>
      </c>
      <c r="S30" s="45">
        <v>7</v>
      </c>
      <c r="T30" s="45">
        <v>7</v>
      </c>
      <c r="U30" s="45">
        <v>7</v>
      </c>
      <c r="V30" s="45">
        <v>7</v>
      </c>
      <c r="W30" s="45">
        <v>7</v>
      </c>
      <c r="X30" s="45">
        <v>7</v>
      </c>
      <c r="Y30" s="45">
        <v>7</v>
      </c>
      <c r="Z30" s="45">
        <v>7</v>
      </c>
      <c r="AA30" s="45">
        <v>7</v>
      </c>
      <c r="AB30" s="45">
        <v>7</v>
      </c>
      <c r="AC30" s="45">
        <v>7</v>
      </c>
      <c r="AD30" s="45">
        <v>7</v>
      </c>
      <c r="AE30" s="45">
        <v>7</v>
      </c>
      <c r="AF30" s="45">
        <v>7</v>
      </c>
      <c r="AG30" s="49">
        <v>22.1</v>
      </c>
      <c r="AH30" s="47">
        <f t="shared" si="2"/>
        <v>7</v>
      </c>
      <c r="AI30" s="48">
        <f t="shared" si="3"/>
        <v>7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19</v>
      </c>
      <c r="T31" s="45">
        <v>19</v>
      </c>
      <c r="U31" s="45">
        <v>19</v>
      </c>
      <c r="V31" s="45">
        <v>19</v>
      </c>
      <c r="W31" s="45">
        <v>19</v>
      </c>
      <c r="X31" s="45">
        <v>19</v>
      </c>
      <c r="Y31" s="45">
        <v>19</v>
      </c>
      <c r="Z31" s="45">
        <v>19</v>
      </c>
      <c r="AA31" s="45">
        <v>19</v>
      </c>
      <c r="AB31" s="45">
        <v>19</v>
      </c>
      <c r="AC31" s="45">
        <v>19</v>
      </c>
      <c r="AD31" s="45">
        <v>19</v>
      </c>
      <c r="AE31" s="45">
        <v>19</v>
      </c>
      <c r="AF31" s="45">
        <v>19</v>
      </c>
      <c r="AG31" s="49">
        <v>22</v>
      </c>
      <c r="AH31" s="47">
        <f t="shared" si="2"/>
        <v>22</v>
      </c>
      <c r="AI31" s="48">
        <f t="shared" si="3"/>
        <v>19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19</v>
      </c>
      <c r="U32" s="45">
        <v>19</v>
      </c>
      <c r="V32" s="45">
        <v>19</v>
      </c>
      <c r="W32" s="45">
        <v>19</v>
      </c>
      <c r="X32" s="45">
        <v>19</v>
      </c>
      <c r="Y32" s="45">
        <v>19</v>
      </c>
      <c r="Z32" s="45">
        <v>19</v>
      </c>
      <c r="AA32" s="45">
        <v>19</v>
      </c>
      <c r="AB32" s="45">
        <v>19</v>
      </c>
      <c r="AC32" s="45">
        <v>19</v>
      </c>
      <c r="AD32" s="45">
        <v>19</v>
      </c>
      <c r="AE32" s="45">
        <v>19</v>
      </c>
      <c r="AF32" s="45">
        <v>19</v>
      </c>
      <c r="AG32" s="49">
        <v>22</v>
      </c>
      <c r="AH32" s="47">
        <f t="shared" si="2"/>
        <v>22</v>
      </c>
      <c r="AI32" s="48">
        <f t="shared" si="3"/>
        <v>19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4</v>
      </c>
      <c r="E33" s="45">
        <v>4</v>
      </c>
      <c r="F33" s="45">
        <v>4</v>
      </c>
      <c r="G33" s="45">
        <v>4</v>
      </c>
      <c r="H33" s="45">
        <v>4</v>
      </c>
      <c r="I33" s="45">
        <v>4</v>
      </c>
      <c r="J33" s="45">
        <v>4</v>
      </c>
      <c r="K33" s="45">
        <v>4</v>
      </c>
      <c r="L33" s="45">
        <v>4</v>
      </c>
      <c r="M33" s="45">
        <v>5</v>
      </c>
      <c r="N33" s="45">
        <v>5</v>
      </c>
      <c r="O33" s="45">
        <v>5</v>
      </c>
      <c r="P33" s="45">
        <v>5</v>
      </c>
      <c r="Q33" s="45">
        <v>5</v>
      </c>
      <c r="R33" s="45">
        <v>5</v>
      </c>
      <c r="S33" s="45">
        <v>5</v>
      </c>
      <c r="T33" s="45">
        <v>7</v>
      </c>
      <c r="U33" s="45">
        <v>7</v>
      </c>
      <c r="V33" s="45">
        <v>7</v>
      </c>
      <c r="W33" s="45">
        <v>7</v>
      </c>
      <c r="X33" s="45">
        <v>5</v>
      </c>
      <c r="Y33" s="45">
        <v>5</v>
      </c>
      <c r="Z33" s="45">
        <v>8</v>
      </c>
      <c r="AA33" s="45">
        <v>8</v>
      </c>
      <c r="AB33" s="45">
        <v>8</v>
      </c>
      <c r="AC33" s="45">
        <v>8</v>
      </c>
      <c r="AD33" s="45">
        <v>10</v>
      </c>
      <c r="AE33" s="45">
        <v>10</v>
      </c>
      <c r="AF33" s="45">
        <v>10</v>
      </c>
      <c r="AG33" s="49">
        <v>20</v>
      </c>
      <c r="AH33" s="47">
        <f t="shared" si="2"/>
        <v>10</v>
      </c>
      <c r="AI33" s="48">
        <f t="shared" si="3"/>
        <v>4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5</v>
      </c>
      <c r="D34" s="45">
        <v>5</v>
      </c>
      <c r="E34" s="45">
        <v>5</v>
      </c>
      <c r="F34" s="45">
        <v>5</v>
      </c>
      <c r="G34" s="45">
        <v>5</v>
      </c>
      <c r="H34" s="45">
        <v>5</v>
      </c>
      <c r="I34" s="45">
        <v>5</v>
      </c>
      <c r="J34" s="45">
        <v>5</v>
      </c>
      <c r="K34" s="45">
        <v>5</v>
      </c>
      <c r="L34" s="45">
        <v>5</v>
      </c>
      <c r="M34" s="45">
        <v>5</v>
      </c>
      <c r="N34" s="45">
        <v>5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3.5</v>
      </c>
      <c r="Y34" s="45">
        <v>3.5</v>
      </c>
      <c r="Z34" s="45">
        <v>5</v>
      </c>
      <c r="AA34" s="45">
        <v>5</v>
      </c>
      <c r="AB34" s="45">
        <v>5</v>
      </c>
      <c r="AC34" s="45">
        <v>5</v>
      </c>
      <c r="AD34" s="45">
        <v>9</v>
      </c>
      <c r="AE34" s="45">
        <v>9</v>
      </c>
      <c r="AF34" s="45">
        <v>9</v>
      </c>
      <c r="AG34" s="49">
        <v>18</v>
      </c>
      <c r="AH34" s="47">
        <f t="shared" si="2"/>
        <v>9</v>
      </c>
      <c r="AI34" s="48">
        <f t="shared" si="3"/>
        <v>3.5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6</v>
      </c>
      <c r="C38" s="45">
        <v>6</v>
      </c>
      <c r="D38" s="45">
        <v>6</v>
      </c>
      <c r="E38" s="45">
        <v>6</v>
      </c>
      <c r="F38" s="45">
        <v>6</v>
      </c>
      <c r="G38" s="45">
        <v>6</v>
      </c>
      <c r="H38" s="45">
        <v>6</v>
      </c>
      <c r="I38" s="45">
        <v>6</v>
      </c>
      <c r="J38" s="45">
        <v>6</v>
      </c>
      <c r="K38" s="45">
        <v>6</v>
      </c>
      <c r="L38" s="45">
        <v>6</v>
      </c>
      <c r="M38" s="45">
        <v>6</v>
      </c>
      <c r="N38" s="45">
        <v>6</v>
      </c>
      <c r="O38" s="45">
        <v>6</v>
      </c>
      <c r="P38" s="45">
        <v>6</v>
      </c>
      <c r="Q38" s="45">
        <v>6</v>
      </c>
      <c r="R38" s="45">
        <v>6</v>
      </c>
      <c r="S38" s="45">
        <v>6</v>
      </c>
      <c r="T38" s="45">
        <v>6</v>
      </c>
      <c r="U38" s="45">
        <v>6</v>
      </c>
      <c r="V38" s="45">
        <v>6</v>
      </c>
      <c r="W38" s="45">
        <v>6</v>
      </c>
      <c r="X38" s="45">
        <v>6</v>
      </c>
      <c r="Y38" s="45">
        <v>6</v>
      </c>
      <c r="Z38" s="45">
        <v>6</v>
      </c>
      <c r="AA38" s="45">
        <v>6</v>
      </c>
      <c r="AB38" s="45">
        <v>6</v>
      </c>
      <c r="AC38" s="45">
        <v>6</v>
      </c>
      <c r="AD38" s="45">
        <v>6</v>
      </c>
      <c r="AE38" s="45">
        <v>6</v>
      </c>
      <c r="AF38" s="45">
        <v>6</v>
      </c>
      <c r="AG38" s="49">
        <v>13</v>
      </c>
      <c r="AH38" s="47">
        <f t="shared" si="2"/>
        <v>6</v>
      </c>
      <c r="AI38" s="48">
        <f t="shared" si="3"/>
        <v>6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>
        <v>3</v>
      </c>
      <c r="I39" s="45">
        <v>3</v>
      </c>
      <c r="J39" s="45">
        <v>3</v>
      </c>
      <c r="K39" s="45">
        <v>3</v>
      </c>
      <c r="L39" s="45">
        <v>3</v>
      </c>
      <c r="M39" s="45">
        <v>3</v>
      </c>
      <c r="N39" s="45">
        <v>3</v>
      </c>
      <c r="O39" s="45">
        <v>3</v>
      </c>
      <c r="P39" s="45">
        <v>3</v>
      </c>
      <c r="Q39" s="45">
        <v>3</v>
      </c>
      <c r="R39" s="45">
        <v>3</v>
      </c>
      <c r="S39" s="45">
        <v>3</v>
      </c>
      <c r="T39" s="45">
        <v>6</v>
      </c>
      <c r="U39" s="45">
        <v>2</v>
      </c>
      <c r="V39" s="45">
        <v>2</v>
      </c>
      <c r="W39" s="45">
        <v>2</v>
      </c>
      <c r="X39" s="45">
        <v>6</v>
      </c>
      <c r="Y39" s="45">
        <v>6</v>
      </c>
      <c r="Z39" s="45">
        <v>12</v>
      </c>
      <c r="AA39" s="45">
        <v>12</v>
      </c>
      <c r="AB39" s="45">
        <v>12</v>
      </c>
      <c r="AC39" s="45">
        <v>12</v>
      </c>
      <c r="AD39" s="45">
        <v>6</v>
      </c>
      <c r="AE39" s="45">
        <v>6</v>
      </c>
      <c r="AF39" s="45">
        <v>6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5.5</v>
      </c>
      <c r="C40" s="45">
        <v>5.5</v>
      </c>
      <c r="D40" s="45">
        <v>5.5</v>
      </c>
      <c r="E40" s="45">
        <v>5.5</v>
      </c>
      <c r="F40" s="45">
        <v>5.5</v>
      </c>
      <c r="G40" s="45">
        <v>5.5</v>
      </c>
      <c r="H40" s="45">
        <v>5.5</v>
      </c>
      <c r="I40" s="45">
        <v>5.5</v>
      </c>
      <c r="J40" s="45">
        <v>5.5</v>
      </c>
      <c r="K40" s="45">
        <v>5.5</v>
      </c>
      <c r="L40" s="45">
        <v>5.5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4.0999999999999996</v>
      </c>
      <c r="V40" s="45">
        <v>4.0999999999999996</v>
      </c>
      <c r="W40" s="45">
        <v>4.0999999999999996</v>
      </c>
      <c r="X40" s="45">
        <v>4.0999999999999996</v>
      </c>
      <c r="Y40" s="45">
        <v>4.0999999999999996</v>
      </c>
      <c r="Z40" s="45">
        <v>4.0999999999999996</v>
      </c>
      <c r="AA40" s="45">
        <v>4.0999999999999996</v>
      </c>
      <c r="AB40" s="45">
        <v>4.0999999999999996</v>
      </c>
      <c r="AC40" s="45">
        <v>4.0999999999999996</v>
      </c>
      <c r="AD40" s="45">
        <v>4.0999999999999996</v>
      </c>
      <c r="AE40" s="45">
        <v>4.0999999999999996</v>
      </c>
      <c r="AF40" s="45">
        <v>4.0999999999999996</v>
      </c>
      <c r="AG40" s="49">
        <v>12</v>
      </c>
      <c r="AH40" s="47">
        <f t="shared" si="2"/>
        <v>5.5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0</v>
      </c>
      <c r="AG42" s="52">
        <v>22</v>
      </c>
      <c r="AH42" s="47">
        <f t="shared" si="2"/>
        <v>0</v>
      </c>
      <c r="AI42" s="48">
        <f t="shared" si="3"/>
        <v>0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12</v>
      </c>
      <c r="C43" s="45">
        <v>12</v>
      </c>
      <c r="D43" s="45">
        <v>12</v>
      </c>
      <c r="E43" s="45">
        <v>12</v>
      </c>
      <c r="F43" s="45">
        <v>12</v>
      </c>
      <c r="G43" s="45">
        <v>12</v>
      </c>
      <c r="H43" s="45">
        <v>12</v>
      </c>
      <c r="I43" s="45">
        <v>12</v>
      </c>
      <c r="J43" s="45">
        <v>12</v>
      </c>
      <c r="K43" s="45">
        <v>12</v>
      </c>
      <c r="L43" s="45">
        <v>12</v>
      </c>
      <c r="M43" s="45">
        <v>12</v>
      </c>
      <c r="N43" s="45">
        <v>12</v>
      </c>
      <c r="O43" s="45">
        <v>12</v>
      </c>
      <c r="P43" s="45">
        <v>12</v>
      </c>
      <c r="Q43" s="45">
        <v>12</v>
      </c>
      <c r="R43" s="45">
        <v>12</v>
      </c>
      <c r="S43" s="45">
        <v>12</v>
      </c>
      <c r="T43" s="45">
        <v>12</v>
      </c>
      <c r="U43" s="45">
        <v>12</v>
      </c>
      <c r="V43" s="45">
        <v>12</v>
      </c>
      <c r="W43" s="45">
        <v>12</v>
      </c>
      <c r="X43" s="45">
        <v>12</v>
      </c>
      <c r="Y43" s="45">
        <v>12</v>
      </c>
      <c r="Z43" s="45">
        <v>12</v>
      </c>
      <c r="AA43" s="45">
        <v>12</v>
      </c>
      <c r="AB43" s="45">
        <v>12</v>
      </c>
      <c r="AC43" s="45">
        <v>12</v>
      </c>
      <c r="AD43" s="45">
        <v>12</v>
      </c>
      <c r="AE43" s="45">
        <v>12</v>
      </c>
      <c r="AF43" s="45">
        <v>12</v>
      </c>
      <c r="AG43" s="51">
        <v>11.88</v>
      </c>
      <c r="AH43" s="47">
        <f t="shared" si="2"/>
        <v>12</v>
      </c>
      <c r="AI43" s="48">
        <f t="shared" si="3"/>
        <v>12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10</v>
      </c>
      <c r="C44" s="45">
        <v>10</v>
      </c>
      <c r="D44" s="45">
        <v>10</v>
      </c>
      <c r="E44" s="45">
        <v>10</v>
      </c>
      <c r="F44" s="45">
        <v>10</v>
      </c>
      <c r="G44" s="45">
        <v>10</v>
      </c>
      <c r="H44" s="45">
        <v>10</v>
      </c>
      <c r="I44" s="45">
        <v>10</v>
      </c>
      <c r="J44" s="45">
        <v>10</v>
      </c>
      <c r="K44" s="45">
        <v>10</v>
      </c>
      <c r="L44" s="45">
        <v>10</v>
      </c>
      <c r="M44" s="45">
        <v>10</v>
      </c>
      <c r="N44" s="45">
        <v>10</v>
      </c>
      <c r="O44" s="45">
        <v>10</v>
      </c>
      <c r="P44" s="45">
        <v>10</v>
      </c>
      <c r="Q44" s="45">
        <v>10</v>
      </c>
      <c r="R44" s="45">
        <v>10</v>
      </c>
      <c r="S44" s="45">
        <v>10</v>
      </c>
      <c r="T44" s="45">
        <v>10</v>
      </c>
      <c r="U44" s="45">
        <v>10</v>
      </c>
      <c r="V44" s="45">
        <v>10</v>
      </c>
      <c r="W44" s="45">
        <v>10</v>
      </c>
      <c r="X44" s="45">
        <v>10</v>
      </c>
      <c r="Y44" s="45">
        <v>10</v>
      </c>
      <c r="Z44" s="45">
        <v>10</v>
      </c>
      <c r="AA44" s="45">
        <v>10</v>
      </c>
      <c r="AB44" s="45">
        <v>10</v>
      </c>
      <c r="AC44" s="45">
        <v>10</v>
      </c>
      <c r="AD44" s="45">
        <v>10</v>
      </c>
      <c r="AE44" s="45">
        <v>10</v>
      </c>
      <c r="AF44" s="45">
        <v>10</v>
      </c>
      <c r="AG44" s="54">
        <v>11</v>
      </c>
      <c r="AH44" s="47">
        <f t="shared" si="2"/>
        <v>10</v>
      </c>
      <c r="AI44" s="48">
        <f t="shared" si="3"/>
        <v>10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8</v>
      </c>
      <c r="D45" s="45">
        <v>8</v>
      </c>
      <c r="E45" s="45">
        <v>8</v>
      </c>
      <c r="F45" s="45">
        <v>8</v>
      </c>
      <c r="G45" s="45">
        <v>8</v>
      </c>
      <c r="H45" s="45">
        <v>8</v>
      </c>
      <c r="I45" s="45">
        <v>8</v>
      </c>
      <c r="J45" s="45">
        <v>8</v>
      </c>
      <c r="K45" s="45">
        <v>8</v>
      </c>
      <c r="L45" s="45">
        <v>8</v>
      </c>
      <c r="M45" s="45">
        <v>8</v>
      </c>
      <c r="N45" s="45">
        <v>8</v>
      </c>
      <c r="O45" s="45">
        <v>8</v>
      </c>
      <c r="P45" s="45">
        <v>8</v>
      </c>
      <c r="Q45" s="45">
        <v>8</v>
      </c>
      <c r="R45" s="45">
        <v>8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</v>
      </c>
      <c r="Z45" s="45">
        <v>8</v>
      </c>
      <c r="AA45" s="45">
        <v>8</v>
      </c>
      <c r="AB45" s="45">
        <v>8</v>
      </c>
      <c r="AC45" s="45">
        <v>8</v>
      </c>
      <c r="AD45" s="45">
        <v>8</v>
      </c>
      <c r="AE45" s="45">
        <v>8</v>
      </c>
      <c r="AF45" s="45">
        <v>8</v>
      </c>
      <c r="AG45" s="54">
        <v>10</v>
      </c>
      <c r="AH45" s="47">
        <f t="shared" si="2"/>
        <v>10</v>
      </c>
      <c r="AI45" s="48">
        <f t="shared" si="3"/>
        <v>8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95.8</v>
      </c>
      <c r="C49" s="56">
        <v>95.8</v>
      </c>
      <c r="D49" s="56">
        <v>95.8</v>
      </c>
      <c r="E49" s="56">
        <v>95.8</v>
      </c>
      <c r="F49" s="56">
        <v>100</v>
      </c>
      <c r="G49" s="56">
        <v>100</v>
      </c>
      <c r="H49" s="56">
        <v>100</v>
      </c>
      <c r="I49" s="56">
        <v>100</v>
      </c>
      <c r="J49" s="56">
        <v>100</v>
      </c>
      <c r="K49" s="56">
        <v>100</v>
      </c>
      <c r="L49" s="56">
        <v>100</v>
      </c>
      <c r="M49" s="56">
        <v>100</v>
      </c>
      <c r="N49" s="56">
        <v>100</v>
      </c>
      <c r="O49" s="56">
        <v>100</v>
      </c>
      <c r="P49" s="56">
        <v>100</v>
      </c>
      <c r="Q49" s="56">
        <v>100</v>
      </c>
      <c r="R49" s="56">
        <f>88</f>
        <v>88</v>
      </c>
      <c r="S49" s="56">
        <f>88</f>
        <v>88</v>
      </c>
      <c r="T49" s="58">
        <v>55.1</v>
      </c>
      <c r="U49" s="58">
        <v>55.1</v>
      </c>
      <c r="V49" s="58">
        <v>91</v>
      </c>
      <c r="W49" s="58">
        <v>88</v>
      </c>
      <c r="X49" s="58">
        <f>23.9+70</f>
        <v>93.9</v>
      </c>
      <c r="Y49" s="56">
        <v>92</v>
      </c>
      <c r="Z49" s="56">
        <v>83.5</v>
      </c>
      <c r="AA49" s="56">
        <v>83.5</v>
      </c>
      <c r="AB49" s="56">
        <v>83.5</v>
      </c>
      <c r="AC49" s="56">
        <v>83.5</v>
      </c>
      <c r="AD49" s="56">
        <v>83.5</v>
      </c>
      <c r="AE49" s="56">
        <v>83.5</v>
      </c>
      <c r="AF49" s="56">
        <v>83.5</v>
      </c>
      <c r="AG49" s="54">
        <v>240</v>
      </c>
      <c r="AH49" s="47">
        <f t="shared" si="2"/>
        <v>100</v>
      </c>
      <c r="AI49" s="48">
        <f t="shared" si="3"/>
        <v>55.1</v>
      </c>
      <c r="AK49" s="50"/>
    </row>
    <row r="50" spans="1:41" ht="15.75" thickBot="1" x14ac:dyDescent="0.3">
      <c r="A50" s="59" t="s">
        <v>58</v>
      </c>
      <c r="B50" s="60">
        <f t="shared" ref="B50:AE50" si="4">SUM(B11:B48)</f>
        <v>1039.0999999999999</v>
      </c>
      <c r="C50" s="60">
        <f t="shared" si="4"/>
        <v>977.8</v>
      </c>
      <c r="D50" s="60">
        <f t="shared" si="4"/>
        <v>947.8</v>
      </c>
      <c r="E50" s="60">
        <f>SUM(E11:E48)</f>
        <v>1004.8999999999999</v>
      </c>
      <c r="F50" s="60">
        <f t="shared" si="4"/>
        <v>1004.3</v>
      </c>
      <c r="G50" s="60">
        <f t="shared" si="4"/>
        <v>1025.5999999999999</v>
      </c>
      <c r="H50" s="60">
        <f t="shared" si="4"/>
        <v>1025.5</v>
      </c>
      <c r="I50" s="60">
        <f t="shared" si="4"/>
        <v>1025.5</v>
      </c>
      <c r="J50" s="60">
        <f>SUM(J11:J48)</f>
        <v>1026.4000000000001</v>
      </c>
      <c r="K50" s="60">
        <f>SUM(K11:K48)</f>
        <v>1026.4000000000001</v>
      </c>
      <c r="L50" s="60">
        <f>SUM(L11:L48)</f>
        <v>1027.3</v>
      </c>
      <c r="M50" s="60">
        <f t="shared" si="4"/>
        <v>1035.0999999999999</v>
      </c>
      <c r="N50" s="60">
        <f t="shared" si="4"/>
        <v>1045.0999999999999</v>
      </c>
      <c r="O50" s="60">
        <f t="shared" si="4"/>
        <v>1041</v>
      </c>
      <c r="P50" s="60">
        <f t="shared" si="4"/>
        <v>1011.4000000000001</v>
      </c>
      <c r="Q50" s="60">
        <f t="shared" si="4"/>
        <v>1011.4000000000001</v>
      </c>
      <c r="R50" s="60">
        <f>SUM(R11:R48)</f>
        <v>1012.8</v>
      </c>
      <c r="S50" s="60">
        <f t="shared" si="4"/>
        <v>1009.8</v>
      </c>
      <c r="T50" s="60">
        <f t="shared" si="4"/>
        <v>970.8</v>
      </c>
      <c r="U50" s="60">
        <f t="shared" si="4"/>
        <v>979.2</v>
      </c>
      <c r="V50" s="60">
        <f t="shared" si="4"/>
        <v>979.2</v>
      </c>
      <c r="W50" s="60">
        <f t="shared" si="4"/>
        <v>979.2</v>
      </c>
      <c r="X50" s="60">
        <f t="shared" si="4"/>
        <v>1011.7</v>
      </c>
      <c r="Y50" s="60">
        <f t="shared" si="4"/>
        <v>1011.7</v>
      </c>
      <c r="Z50" s="60">
        <f t="shared" si="4"/>
        <v>1110.5</v>
      </c>
      <c r="AA50" s="60">
        <f t="shared" si="4"/>
        <v>1110.5</v>
      </c>
      <c r="AB50" s="60">
        <f t="shared" si="4"/>
        <v>1074.3000000000002</v>
      </c>
      <c r="AC50" s="60">
        <f>SUM(AC11:AC48)</f>
        <v>1100</v>
      </c>
      <c r="AD50" s="60">
        <f t="shared" si="4"/>
        <v>1078</v>
      </c>
      <c r="AE50" s="60">
        <f t="shared" si="4"/>
        <v>1078</v>
      </c>
      <c r="AF50" s="60">
        <f>SUM(AF11:AF48)</f>
        <v>1078</v>
      </c>
      <c r="AG50" s="61">
        <f>SUM(AG13:AG48)</f>
        <v>922.14</v>
      </c>
      <c r="AH50" s="47">
        <f t="shared" si="2"/>
        <v>1110.5</v>
      </c>
      <c r="AI50" s="48">
        <f t="shared" si="3"/>
        <v>947.8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175">
        <v>380</v>
      </c>
      <c r="O51" s="175">
        <v>380</v>
      </c>
      <c r="P51" s="175">
        <v>380</v>
      </c>
      <c r="Q51" s="175">
        <v>380</v>
      </c>
      <c r="R51" s="175">
        <v>380</v>
      </c>
      <c r="S51" s="175">
        <v>380</v>
      </c>
      <c r="T51" s="175">
        <v>380</v>
      </c>
      <c r="U51" s="45">
        <v>380</v>
      </c>
      <c r="V51" s="45">
        <v>380</v>
      </c>
      <c r="W51" s="45">
        <v>380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380</v>
      </c>
      <c r="AK51" s="50"/>
    </row>
    <row r="52" spans="1:41" x14ac:dyDescent="0.25">
      <c r="A52" s="63" t="s">
        <v>60</v>
      </c>
      <c r="B52" s="64">
        <v>61</v>
      </c>
      <c r="C52" s="64">
        <v>61</v>
      </c>
      <c r="D52" s="64">
        <v>61</v>
      </c>
      <c r="E52" s="64">
        <v>61</v>
      </c>
      <c r="F52" s="64">
        <v>61</v>
      </c>
      <c r="G52" s="64">
        <v>61</v>
      </c>
      <c r="H52" s="64">
        <v>61</v>
      </c>
      <c r="I52" s="64">
        <v>61</v>
      </c>
      <c r="J52" s="64">
        <v>61</v>
      </c>
      <c r="K52" s="64">
        <v>61</v>
      </c>
      <c r="L52" s="64">
        <v>61</v>
      </c>
      <c r="M52" s="64">
        <v>60</v>
      </c>
      <c r="N52" s="64">
        <v>60</v>
      </c>
      <c r="O52" s="64">
        <v>60</v>
      </c>
      <c r="P52" s="64">
        <v>50</v>
      </c>
      <c r="Q52" s="64">
        <v>50</v>
      </c>
      <c r="R52" s="64">
        <v>50</v>
      </c>
      <c r="S52" s="64">
        <v>49</v>
      </c>
      <c r="T52" s="64">
        <v>49</v>
      </c>
      <c r="U52" s="64">
        <v>49</v>
      </c>
      <c r="V52" s="64">
        <v>49</v>
      </c>
      <c r="W52" s="64">
        <v>49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61</v>
      </c>
      <c r="AI52" s="48">
        <f t="shared" si="3"/>
        <v>49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20.5</v>
      </c>
      <c r="V53" s="66">
        <v>20.5</v>
      </c>
      <c r="W53" s="66">
        <v>20.5</v>
      </c>
      <c r="X53" s="66">
        <v>20.100000000000001</v>
      </c>
      <c r="Y53" s="66">
        <v>20.100000000000001</v>
      </c>
      <c r="Z53" s="66">
        <v>20.100000000000001</v>
      </c>
      <c r="AA53" s="66">
        <v>20.100000000000001</v>
      </c>
      <c r="AB53" s="66">
        <v>20.100000000000001</v>
      </c>
      <c r="AC53" s="66">
        <v>20.100000000000001</v>
      </c>
      <c r="AD53" s="66">
        <v>20.100000000000001</v>
      </c>
      <c r="AE53" s="66">
        <v>20.100000000000001</v>
      </c>
      <c r="AF53" s="66">
        <v>20.100000000000001</v>
      </c>
      <c r="AG53" s="67">
        <v>22.1</v>
      </c>
      <c r="AH53" s="47">
        <f t="shared" si="2"/>
        <v>22.5</v>
      </c>
      <c r="AI53" s="48">
        <f t="shared" si="3"/>
        <v>20.100000000000001</v>
      </c>
      <c r="AK53" s="50"/>
    </row>
    <row r="54" spans="1:41" ht="15.75" thickBot="1" x14ac:dyDescent="0.3">
      <c r="A54" s="68" t="s">
        <v>62</v>
      </c>
      <c r="B54" s="60">
        <f t="shared" ref="B54:AG54" si="5">SUM(B51:B53)</f>
        <v>539.5</v>
      </c>
      <c r="C54" s="60">
        <f t="shared" si="5"/>
        <v>539.5</v>
      </c>
      <c r="D54" s="60">
        <f t="shared" si="5"/>
        <v>539.5</v>
      </c>
      <c r="E54" s="60">
        <f t="shared" si="5"/>
        <v>539.5</v>
      </c>
      <c r="F54" s="60">
        <f t="shared" si="5"/>
        <v>539.5</v>
      </c>
      <c r="G54" s="60">
        <f t="shared" si="5"/>
        <v>539.5</v>
      </c>
      <c r="H54" s="60">
        <f t="shared" si="5"/>
        <v>539.5</v>
      </c>
      <c r="I54" s="60">
        <f t="shared" si="5"/>
        <v>539.5</v>
      </c>
      <c r="J54" s="60">
        <f t="shared" si="5"/>
        <v>539.5</v>
      </c>
      <c r="K54" s="60">
        <f t="shared" si="5"/>
        <v>539.5</v>
      </c>
      <c r="L54" s="60">
        <f t="shared" si="5"/>
        <v>539.5</v>
      </c>
      <c r="M54" s="60">
        <f t="shared" si="5"/>
        <v>538.5</v>
      </c>
      <c r="N54" s="60">
        <f t="shared" si="5"/>
        <v>462.5</v>
      </c>
      <c r="O54" s="60">
        <f t="shared" si="5"/>
        <v>462.5</v>
      </c>
      <c r="P54" s="60">
        <f t="shared" si="5"/>
        <v>452.5</v>
      </c>
      <c r="Q54" s="60">
        <f t="shared" si="5"/>
        <v>452.5</v>
      </c>
      <c r="R54" s="60">
        <f>SUM(R51:R53)</f>
        <v>452.5</v>
      </c>
      <c r="S54" s="60">
        <f t="shared" si="5"/>
        <v>451.5</v>
      </c>
      <c r="T54" s="60">
        <f t="shared" si="5"/>
        <v>451.5</v>
      </c>
      <c r="U54" s="60">
        <f t="shared" si="5"/>
        <v>449.5</v>
      </c>
      <c r="V54" s="60">
        <f t="shared" si="5"/>
        <v>449.5</v>
      </c>
      <c r="W54" s="60">
        <f t="shared" si="5"/>
        <v>449.5</v>
      </c>
      <c r="X54" s="60">
        <f t="shared" si="5"/>
        <v>536.1</v>
      </c>
      <c r="Y54" s="60">
        <f t="shared" si="5"/>
        <v>536.1</v>
      </c>
      <c r="Z54" s="60">
        <f t="shared" si="5"/>
        <v>536.1</v>
      </c>
      <c r="AA54" s="60">
        <f t="shared" si="5"/>
        <v>536.1</v>
      </c>
      <c r="AB54" s="60">
        <f t="shared" si="5"/>
        <v>536.1</v>
      </c>
      <c r="AC54" s="60">
        <f>SUM(AC51:AC53)</f>
        <v>536.1</v>
      </c>
      <c r="AD54" s="60">
        <f t="shared" si="5"/>
        <v>536.1</v>
      </c>
      <c r="AE54" s="60">
        <f t="shared" si="5"/>
        <v>536.1</v>
      </c>
      <c r="AF54" s="60">
        <f>SUM(AF51:AF53)</f>
        <v>536.1</v>
      </c>
      <c r="AG54" s="61">
        <f t="shared" si="5"/>
        <v>538.1</v>
      </c>
      <c r="AH54" s="47">
        <f t="shared" si="2"/>
        <v>539.5</v>
      </c>
      <c r="AI54" s="48">
        <f t="shared" si="3"/>
        <v>449.5</v>
      </c>
      <c r="AK54" s="50"/>
    </row>
    <row r="55" spans="1:41" x14ac:dyDescent="0.25">
      <c r="A55" s="44" t="s">
        <v>63</v>
      </c>
      <c r="B55" s="45">
        <v>134.30000000000001</v>
      </c>
      <c r="C55" s="45">
        <v>73</v>
      </c>
      <c r="D55" s="45">
        <v>73</v>
      </c>
      <c r="E55" s="45">
        <v>72</v>
      </c>
      <c r="F55" s="45">
        <v>72.8</v>
      </c>
      <c r="G55" s="45">
        <v>89.6</v>
      </c>
      <c r="H55" s="45">
        <v>91.2</v>
      </c>
      <c r="I55" s="45">
        <v>89.6</v>
      </c>
      <c r="J55" s="45">
        <v>121.3</v>
      </c>
      <c r="K55" s="45">
        <v>130</v>
      </c>
      <c r="L55" s="45">
        <v>130</v>
      </c>
      <c r="M55" s="45">
        <v>128</v>
      </c>
      <c r="N55" s="45">
        <v>129.5</v>
      </c>
      <c r="O55" s="45">
        <v>129.6</v>
      </c>
      <c r="P55" s="45">
        <v>121.4</v>
      </c>
      <c r="Q55" s="45">
        <v>128.69999999999999</v>
      </c>
      <c r="R55" s="45">
        <v>128.4</v>
      </c>
      <c r="S55" s="45">
        <v>128.4</v>
      </c>
      <c r="T55" s="45">
        <v>128.4</v>
      </c>
      <c r="U55" s="45">
        <v>128.4</v>
      </c>
      <c r="V55" s="45">
        <v>131</v>
      </c>
      <c r="W55" s="45">
        <v>131</v>
      </c>
      <c r="X55" s="45">
        <v>131.9</v>
      </c>
      <c r="Y55" s="45">
        <v>131.9</v>
      </c>
      <c r="Z55" s="45">
        <v>131.9</v>
      </c>
      <c r="AA55" s="45">
        <v>131.9</v>
      </c>
      <c r="AB55" s="45">
        <v>131.9</v>
      </c>
      <c r="AC55" s="45">
        <v>131.9</v>
      </c>
      <c r="AD55" s="45">
        <v>131.9</v>
      </c>
      <c r="AE55" s="45">
        <v>131.9</v>
      </c>
      <c r="AF55" s="45">
        <v>131.9</v>
      </c>
      <c r="AG55" s="51">
        <v>144</v>
      </c>
      <c r="AH55" s="47">
        <f t="shared" si="2"/>
        <v>134.30000000000001</v>
      </c>
      <c r="AI55" s="48">
        <f t="shared" si="3"/>
        <v>72</v>
      </c>
      <c r="AK55" s="50"/>
    </row>
    <row r="56" spans="1:41" x14ac:dyDescent="0.25">
      <c r="A56" s="53" t="s">
        <v>64</v>
      </c>
      <c r="B56" s="64">
        <v>69</v>
      </c>
      <c r="C56" s="64">
        <v>69</v>
      </c>
      <c r="D56" s="64">
        <v>69</v>
      </c>
      <c r="E56" s="64">
        <v>59.1</v>
      </c>
      <c r="F56" s="64">
        <v>59.1</v>
      </c>
      <c r="G56" s="64">
        <v>54.1</v>
      </c>
      <c r="H56" s="64">
        <v>69.400000000000006</v>
      </c>
      <c r="I56" s="64">
        <v>70.2</v>
      </c>
      <c r="J56" s="64">
        <v>70.3</v>
      </c>
      <c r="K56" s="64">
        <v>70</v>
      </c>
      <c r="L56" s="64">
        <v>70</v>
      </c>
      <c r="M56" s="64">
        <v>70</v>
      </c>
      <c r="N56" s="64">
        <v>60</v>
      </c>
      <c r="O56" s="64">
        <v>65.900000000000006</v>
      </c>
      <c r="P56" s="64">
        <v>64.8</v>
      </c>
      <c r="Q56" s="64">
        <v>65.3</v>
      </c>
      <c r="R56" s="64">
        <v>68.099999999999994</v>
      </c>
      <c r="S56" s="64">
        <v>68.099999999999994</v>
      </c>
      <c r="T56" s="64">
        <v>68.099999999999994</v>
      </c>
      <c r="U56" s="64">
        <v>68.099999999999994</v>
      </c>
      <c r="V56" s="64">
        <v>68.099999999999994</v>
      </c>
      <c r="W56" s="64">
        <v>68.099999999999994</v>
      </c>
      <c r="X56" s="45">
        <v>70.099999999999994</v>
      </c>
      <c r="Y56" s="45">
        <v>70.099999999999994</v>
      </c>
      <c r="Z56" s="45">
        <v>70.099999999999994</v>
      </c>
      <c r="AA56" s="45">
        <v>70.099999999999994</v>
      </c>
      <c r="AB56" s="45">
        <v>70.099999999999994</v>
      </c>
      <c r="AC56" s="45">
        <v>70.099999999999994</v>
      </c>
      <c r="AD56" s="45">
        <v>70.099999999999994</v>
      </c>
      <c r="AE56" s="45">
        <v>70.099999999999994</v>
      </c>
      <c r="AF56" s="45">
        <v>70.099999999999994</v>
      </c>
      <c r="AG56" s="54">
        <v>70</v>
      </c>
      <c r="AH56" s="47">
        <f t="shared" si="2"/>
        <v>70.3</v>
      </c>
      <c r="AI56" s="48">
        <f t="shared" si="3"/>
        <v>54.1</v>
      </c>
      <c r="AK56" s="50"/>
    </row>
    <row r="57" spans="1:41" x14ac:dyDescent="0.25">
      <c r="A57" s="53" t="s">
        <v>65</v>
      </c>
      <c r="B57" s="64">
        <v>64.3</v>
      </c>
      <c r="C57" s="64">
        <v>64.3</v>
      </c>
      <c r="D57" s="64">
        <v>64.3</v>
      </c>
      <c r="E57" s="64">
        <v>53.1</v>
      </c>
      <c r="F57" s="64">
        <v>53</v>
      </c>
      <c r="G57" s="64">
        <v>48.2</v>
      </c>
      <c r="H57" s="64">
        <v>63</v>
      </c>
      <c r="I57" s="64">
        <v>63</v>
      </c>
      <c r="J57" s="64">
        <v>63.1</v>
      </c>
      <c r="K57" s="64">
        <v>63.4</v>
      </c>
      <c r="L57" s="64">
        <v>63.4</v>
      </c>
      <c r="M57" s="64">
        <v>63.4</v>
      </c>
      <c r="N57" s="64">
        <v>63.4</v>
      </c>
      <c r="O57" s="64">
        <v>63.1</v>
      </c>
      <c r="P57" s="64">
        <v>63.1</v>
      </c>
      <c r="Q57" s="64">
        <v>63.5</v>
      </c>
      <c r="R57" s="64">
        <v>63.2</v>
      </c>
      <c r="S57" s="64">
        <v>63.2</v>
      </c>
      <c r="T57" s="64">
        <v>50.3</v>
      </c>
      <c r="U57" s="64">
        <v>50.3</v>
      </c>
      <c r="V57" s="64">
        <v>64.099999999999994</v>
      </c>
      <c r="W57" s="64">
        <v>64.099999999999994</v>
      </c>
      <c r="X57" s="45">
        <v>64.3</v>
      </c>
      <c r="Y57" s="45">
        <v>64.3</v>
      </c>
      <c r="Z57" s="45">
        <v>64.3</v>
      </c>
      <c r="AA57" s="45">
        <v>64.3</v>
      </c>
      <c r="AB57" s="45">
        <v>64.3</v>
      </c>
      <c r="AC57" s="45">
        <v>64.3</v>
      </c>
      <c r="AD57" s="45">
        <v>64.3</v>
      </c>
      <c r="AE57" s="45">
        <v>64.3</v>
      </c>
      <c r="AF57" s="45">
        <v>64.3</v>
      </c>
      <c r="AG57" s="54">
        <v>69</v>
      </c>
      <c r="AH57" s="47">
        <f t="shared" si="2"/>
        <v>64.3</v>
      </c>
      <c r="AI57" s="48">
        <f t="shared" si="3"/>
        <v>48.2</v>
      </c>
      <c r="AK57" s="50"/>
    </row>
    <row r="58" spans="1:41" x14ac:dyDescent="0.25">
      <c r="A58" s="53" t="s">
        <v>66</v>
      </c>
      <c r="B58" s="64">
        <v>41.3</v>
      </c>
      <c r="C58" s="64">
        <v>53.5</v>
      </c>
      <c r="D58" s="64">
        <v>53.5</v>
      </c>
      <c r="E58" s="56">
        <v>53.2</v>
      </c>
      <c r="F58" s="56">
        <v>53.6</v>
      </c>
      <c r="G58" s="56">
        <v>42.3</v>
      </c>
      <c r="H58" s="56">
        <v>0</v>
      </c>
      <c r="I58" s="56">
        <v>0</v>
      </c>
      <c r="J58" s="56">
        <v>0</v>
      </c>
      <c r="K58" s="56">
        <v>0</v>
      </c>
      <c r="L58" s="56">
        <v>0</v>
      </c>
      <c r="M58" s="56">
        <v>0</v>
      </c>
      <c r="N58" s="56">
        <v>0</v>
      </c>
      <c r="O58" s="56">
        <v>55.7</v>
      </c>
      <c r="P58" s="56">
        <v>55.7</v>
      </c>
      <c r="Q58" s="56">
        <v>60</v>
      </c>
      <c r="R58" s="56">
        <v>58</v>
      </c>
      <c r="S58" s="56">
        <v>58</v>
      </c>
      <c r="T58" s="56">
        <v>58</v>
      </c>
      <c r="U58" s="56">
        <v>58</v>
      </c>
      <c r="V58" s="56">
        <v>60.4</v>
      </c>
      <c r="W58" s="56">
        <v>60.4</v>
      </c>
      <c r="X58" s="45">
        <v>61.4</v>
      </c>
      <c r="Y58" s="45">
        <v>61.4</v>
      </c>
      <c r="Z58" s="45">
        <v>61.4</v>
      </c>
      <c r="AA58" s="45">
        <v>61.4</v>
      </c>
      <c r="AB58" s="45">
        <v>61.4</v>
      </c>
      <c r="AC58" s="45">
        <v>61.4</v>
      </c>
      <c r="AD58" s="45">
        <v>61.4</v>
      </c>
      <c r="AE58" s="45">
        <v>61.4</v>
      </c>
      <c r="AF58" s="45">
        <v>61.4</v>
      </c>
      <c r="AG58" s="54">
        <v>60</v>
      </c>
      <c r="AH58" s="47">
        <f t="shared" si="2"/>
        <v>61.4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56">
        <v>30</v>
      </c>
      <c r="F59" s="56">
        <v>30</v>
      </c>
      <c r="G59" s="56">
        <v>30</v>
      </c>
      <c r="H59" s="56">
        <v>30</v>
      </c>
      <c r="I59" s="56">
        <v>30</v>
      </c>
      <c r="J59" s="56">
        <v>28.5</v>
      </c>
      <c r="K59" s="56">
        <v>28</v>
      </c>
      <c r="L59" s="56">
        <v>28</v>
      </c>
      <c r="M59" s="56">
        <v>28</v>
      </c>
      <c r="N59" s="56">
        <v>28</v>
      </c>
      <c r="O59" s="56">
        <v>28</v>
      </c>
      <c r="P59" s="56">
        <v>28</v>
      </c>
      <c r="Q59" s="56">
        <v>28</v>
      </c>
      <c r="R59" s="56">
        <v>28</v>
      </c>
      <c r="S59" s="56">
        <v>28</v>
      </c>
      <c r="T59" s="56">
        <v>28</v>
      </c>
      <c r="U59" s="56">
        <v>28</v>
      </c>
      <c r="V59" s="56">
        <v>28</v>
      </c>
      <c r="W59" s="56">
        <v>28</v>
      </c>
      <c r="X59" s="45">
        <v>30</v>
      </c>
      <c r="Y59" s="45">
        <v>30</v>
      </c>
      <c r="Z59" s="45">
        <v>30</v>
      </c>
      <c r="AA59" s="45">
        <v>30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54">
        <v>30</v>
      </c>
      <c r="AH59" s="47">
        <f t="shared" si="2"/>
        <v>30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1.8</v>
      </c>
      <c r="L60" s="64">
        <v>1.8</v>
      </c>
      <c r="M60" s="64">
        <v>5</v>
      </c>
      <c r="N60" s="64">
        <v>12</v>
      </c>
      <c r="O60" s="64">
        <v>9.1999999999999993</v>
      </c>
      <c r="P60" s="64">
        <v>9.1999999999999993</v>
      </c>
      <c r="Q60" s="64">
        <v>18.600000000000001</v>
      </c>
      <c r="R60" s="64">
        <v>17.7</v>
      </c>
      <c r="S60" s="64">
        <v>17.7</v>
      </c>
      <c r="T60" s="64">
        <v>12.7</v>
      </c>
      <c r="U60" s="64">
        <v>12.7</v>
      </c>
      <c r="V60" s="64">
        <v>4</v>
      </c>
      <c r="W60" s="64">
        <v>2.9</v>
      </c>
      <c r="X60" s="45">
        <v>1.4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18.600000000000001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-21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-21</v>
      </c>
      <c r="AK61" s="50"/>
    </row>
    <row r="62" spans="1:41" x14ac:dyDescent="0.25">
      <c r="A62" s="53" t="s">
        <v>70</v>
      </c>
      <c r="B62" s="64">
        <v>2.2000000000000002</v>
      </c>
      <c r="C62" s="64">
        <v>2.2000000000000002</v>
      </c>
      <c r="D62" s="64">
        <v>2.2000000000000002</v>
      </c>
      <c r="E62" s="64">
        <v>2.2000000000000002</v>
      </c>
      <c r="F62" s="64">
        <v>2.2000000000000002</v>
      </c>
      <c r="G62" s="64">
        <v>2.2000000000000002</v>
      </c>
      <c r="H62" s="64">
        <v>2.2000000000000002</v>
      </c>
      <c r="I62" s="64">
        <v>2.2000000000000002</v>
      </c>
      <c r="J62" s="64">
        <v>2.2000000000000002</v>
      </c>
      <c r="K62" s="64">
        <v>2.2000000000000002</v>
      </c>
      <c r="L62" s="64">
        <v>2.2000000000000002</v>
      </c>
      <c r="M62" s="64">
        <v>2.2000000000000002</v>
      </c>
      <c r="N62" s="64">
        <v>2.2000000000000002</v>
      </c>
      <c r="O62" s="64">
        <v>0</v>
      </c>
      <c r="P62" s="64">
        <v>0</v>
      </c>
      <c r="Q62" s="64">
        <v>0</v>
      </c>
      <c r="R62" s="64">
        <v>0</v>
      </c>
      <c r="S62" s="64">
        <v>2.8</v>
      </c>
      <c r="T62" s="64">
        <v>2.8</v>
      </c>
      <c r="U62" s="64">
        <v>2.8</v>
      </c>
      <c r="V62" s="64">
        <v>2.8</v>
      </c>
      <c r="W62" s="64">
        <v>2.8</v>
      </c>
      <c r="X62" s="64">
        <v>2.8</v>
      </c>
      <c r="Y62" s="64">
        <v>2.8</v>
      </c>
      <c r="Z62" s="64">
        <v>5.5</v>
      </c>
      <c r="AA62" s="64">
        <v>5.5</v>
      </c>
      <c r="AB62" s="64">
        <v>5.5</v>
      </c>
      <c r="AC62" s="64">
        <v>5.5</v>
      </c>
      <c r="AD62" s="64">
        <v>5.5</v>
      </c>
      <c r="AE62" s="64">
        <v>5.5</v>
      </c>
      <c r="AF62" s="64">
        <v>5.5</v>
      </c>
      <c r="AG62" s="54">
        <v>15</v>
      </c>
      <c r="AH62" s="47">
        <f t="shared" si="2"/>
        <v>5.5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</v>
      </c>
      <c r="C63" s="64">
        <v>9</v>
      </c>
      <c r="D63" s="64">
        <v>9</v>
      </c>
      <c r="E63" s="64">
        <v>8.3000000000000007</v>
      </c>
      <c r="F63" s="64">
        <v>8.3000000000000007</v>
      </c>
      <c r="G63" s="64">
        <v>8.3000000000000007</v>
      </c>
      <c r="H63" s="64">
        <v>8.3000000000000007</v>
      </c>
      <c r="I63" s="64">
        <v>8.3000000000000007</v>
      </c>
      <c r="J63" s="64">
        <v>8.3000000000000007</v>
      </c>
      <c r="K63" s="64">
        <v>8.3000000000000007</v>
      </c>
      <c r="L63" s="64">
        <v>8.3000000000000007</v>
      </c>
      <c r="M63" s="64">
        <v>8.3000000000000007</v>
      </c>
      <c r="N63" s="64">
        <v>8.3000000000000007</v>
      </c>
      <c r="O63" s="64">
        <v>9</v>
      </c>
      <c r="P63" s="64">
        <v>9</v>
      </c>
      <c r="Q63" s="64">
        <v>9.1</v>
      </c>
      <c r="R63" s="64">
        <v>9.3000000000000007</v>
      </c>
      <c r="S63" s="64">
        <v>9.3000000000000007</v>
      </c>
      <c r="T63" s="64">
        <v>8</v>
      </c>
      <c r="U63" s="64">
        <v>8</v>
      </c>
      <c r="V63" s="64">
        <v>8</v>
      </c>
      <c r="W63" s="64">
        <v>8</v>
      </c>
      <c r="X63" s="64">
        <v>8</v>
      </c>
      <c r="Y63" s="64">
        <v>8</v>
      </c>
      <c r="Z63" s="64">
        <v>8</v>
      </c>
      <c r="AA63" s="64">
        <v>8</v>
      </c>
      <c r="AB63" s="64">
        <v>8</v>
      </c>
      <c r="AC63" s="64">
        <v>8</v>
      </c>
      <c r="AD63" s="64">
        <v>8</v>
      </c>
      <c r="AE63" s="64">
        <v>8</v>
      </c>
      <c r="AF63" s="64">
        <v>8</v>
      </c>
      <c r="AG63" s="54">
        <v>14.1</v>
      </c>
      <c r="AH63" s="47">
        <f t="shared" si="2"/>
        <v>9.3000000000000007</v>
      </c>
      <c r="AI63" s="48">
        <f t="shared" si="3"/>
        <v>8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6</v>
      </c>
      <c r="C64" s="64">
        <v>6</v>
      </c>
      <c r="D64" s="64">
        <v>6</v>
      </c>
      <c r="E64" s="64">
        <v>2.8</v>
      </c>
      <c r="F64" s="64">
        <v>2.8</v>
      </c>
      <c r="G64" s="64">
        <v>2.8</v>
      </c>
      <c r="H64" s="64">
        <v>2.8</v>
      </c>
      <c r="I64" s="64">
        <v>2.8</v>
      </c>
      <c r="J64" s="64">
        <v>2.8</v>
      </c>
      <c r="K64" s="64">
        <v>2.8</v>
      </c>
      <c r="L64" s="64">
        <v>2.8</v>
      </c>
      <c r="M64" s="64">
        <v>6.6</v>
      </c>
      <c r="N64" s="64">
        <v>6.6</v>
      </c>
      <c r="O64" s="64">
        <v>6.6</v>
      </c>
      <c r="P64" s="64">
        <v>6.6</v>
      </c>
      <c r="Q64" s="64">
        <v>6.5</v>
      </c>
      <c r="R64" s="64">
        <v>6.6</v>
      </c>
      <c r="S64" s="64">
        <v>6.6</v>
      </c>
      <c r="T64" s="64">
        <v>13.1</v>
      </c>
      <c r="U64" s="64">
        <v>13.1</v>
      </c>
      <c r="V64" s="64">
        <v>13.1</v>
      </c>
      <c r="W64" s="64">
        <v>13.1</v>
      </c>
      <c r="X64" s="64">
        <v>13.1</v>
      </c>
      <c r="Y64" s="64">
        <v>13.1</v>
      </c>
      <c r="Z64" s="64">
        <v>13.1</v>
      </c>
      <c r="AA64" s="64">
        <v>13.1</v>
      </c>
      <c r="AB64" s="64">
        <v>13.1</v>
      </c>
      <c r="AC64" s="64">
        <v>13.1</v>
      </c>
      <c r="AD64" s="64">
        <v>13.1</v>
      </c>
      <c r="AE64" s="64">
        <v>13.1</v>
      </c>
      <c r="AF64" s="64">
        <v>13.1</v>
      </c>
      <c r="AG64" s="54">
        <v>14</v>
      </c>
      <c r="AH64" s="47">
        <f t="shared" si="2"/>
        <v>13.1</v>
      </c>
      <c r="AI64" s="48">
        <f t="shared" si="3"/>
        <v>2.8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0</v>
      </c>
      <c r="N65" s="64">
        <v>0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0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389.84000000000003</v>
      </c>
      <c r="C68" s="60">
        <f t="shared" si="6"/>
        <v>340.74</v>
      </c>
      <c r="D68" s="60">
        <f t="shared" si="6"/>
        <v>340.74</v>
      </c>
      <c r="E68" s="60">
        <f t="shared" si="6"/>
        <v>315.44</v>
      </c>
      <c r="F68" s="60">
        <f t="shared" si="6"/>
        <v>316.54000000000002</v>
      </c>
      <c r="G68" s="60">
        <f t="shared" si="6"/>
        <v>312.24</v>
      </c>
      <c r="H68" s="60">
        <f t="shared" si="6"/>
        <v>301.64000000000004</v>
      </c>
      <c r="I68" s="60">
        <f t="shared" si="6"/>
        <v>300.84000000000003</v>
      </c>
      <c r="J68" s="60">
        <f t="shared" si="6"/>
        <v>294.24</v>
      </c>
      <c r="K68" s="60">
        <f t="shared" si="6"/>
        <v>341.24</v>
      </c>
      <c r="L68" s="60">
        <f t="shared" si="6"/>
        <v>341.24</v>
      </c>
      <c r="M68" s="60">
        <f t="shared" si="6"/>
        <v>337.24</v>
      </c>
      <c r="N68" s="60">
        <f t="shared" si="6"/>
        <v>335.74</v>
      </c>
      <c r="O68" s="60">
        <f t="shared" si="6"/>
        <v>401.84000000000003</v>
      </c>
      <c r="P68" s="60">
        <f t="shared" si="6"/>
        <v>392.54</v>
      </c>
      <c r="Q68" s="60">
        <f t="shared" si="6"/>
        <v>414.44000000000005</v>
      </c>
      <c r="R68" s="60">
        <f>SUM(R55:R67)</f>
        <v>414.04</v>
      </c>
      <c r="S68" s="60">
        <f t="shared" si="6"/>
        <v>416.84000000000003</v>
      </c>
      <c r="T68" s="60">
        <f t="shared" si="6"/>
        <v>404.14000000000004</v>
      </c>
      <c r="U68" s="60">
        <f t="shared" si="6"/>
        <v>404.14000000000004</v>
      </c>
      <c r="V68" s="60">
        <f t="shared" si="6"/>
        <v>414.24</v>
      </c>
      <c r="W68" s="60">
        <f t="shared" si="6"/>
        <v>413.14</v>
      </c>
      <c r="X68" s="60">
        <f t="shared" si="6"/>
        <v>417.74</v>
      </c>
      <c r="Y68" s="60">
        <f t="shared" si="6"/>
        <v>416.34000000000003</v>
      </c>
      <c r="Z68" s="60">
        <f t="shared" si="6"/>
        <v>419.04</v>
      </c>
      <c r="AA68" s="60">
        <f t="shared" si="6"/>
        <v>419.04</v>
      </c>
      <c r="AB68" s="60">
        <f t="shared" si="6"/>
        <v>389.04</v>
      </c>
      <c r="AC68" s="60">
        <f t="shared" si="6"/>
        <v>389.04</v>
      </c>
      <c r="AD68" s="60">
        <f t="shared" si="6"/>
        <v>389.04</v>
      </c>
      <c r="AE68" s="60">
        <f t="shared" si="6"/>
        <v>389.04</v>
      </c>
      <c r="AF68" s="60">
        <f t="shared" si="6"/>
        <v>389.04</v>
      </c>
      <c r="AG68" s="61">
        <f t="shared" si="6"/>
        <v>489.91</v>
      </c>
      <c r="AH68" s="47">
        <f t="shared" si="2"/>
        <v>419.04</v>
      </c>
      <c r="AI68" s="48">
        <f t="shared" si="3"/>
        <v>294.24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64"/>
      <c r="F70" s="64"/>
      <c r="G70" s="64"/>
      <c r="H70" s="64"/>
      <c r="I70" s="64"/>
      <c r="J70" s="64"/>
      <c r="K70" s="64"/>
      <c r="L70" s="64"/>
      <c r="M70" s="64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66"/>
      <c r="F71" s="66"/>
      <c r="G71" s="66"/>
      <c r="H71" s="66"/>
      <c r="I71" s="66"/>
      <c r="J71" s="66"/>
      <c r="K71" s="66"/>
      <c r="L71" s="66"/>
      <c r="M71" s="66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>R69+R70+R71</f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3.6</v>
      </c>
      <c r="C73" s="45">
        <v>11.4</v>
      </c>
      <c r="D73" s="45">
        <v>22.4</v>
      </c>
      <c r="E73" s="45">
        <v>11</v>
      </c>
      <c r="F73" s="45">
        <v>-5.3</v>
      </c>
      <c r="G73" s="45">
        <v>-2.5</v>
      </c>
      <c r="H73" s="45">
        <v>0</v>
      </c>
      <c r="I73" s="45">
        <v>-7</v>
      </c>
      <c r="J73" s="45">
        <v>-20</v>
      </c>
      <c r="K73" s="45">
        <v>-21</v>
      </c>
      <c r="L73" s="45">
        <v>-22</v>
      </c>
      <c r="M73" s="45">
        <v>-20</v>
      </c>
      <c r="N73" s="45">
        <v>-16.3</v>
      </c>
      <c r="O73" s="45">
        <v>-16.600000000000001</v>
      </c>
      <c r="P73" s="45">
        <v>-7.1</v>
      </c>
      <c r="Q73" s="45">
        <v>-10.1</v>
      </c>
      <c r="R73" s="45">
        <v>-15.6</v>
      </c>
      <c r="S73" s="45">
        <v>-20.7</v>
      </c>
      <c r="T73" s="45">
        <v>-19.3</v>
      </c>
      <c r="U73" s="45">
        <v>-8.4</v>
      </c>
      <c r="V73" s="45">
        <v>-9.5</v>
      </c>
      <c r="W73" s="45">
        <v>-3.9</v>
      </c>
      <c r="X73" s="45">
        <v>-7.2</v>
      </c>
      <c r="Y73" s="45">
        <v>-5.8</v>
      </c>
      <c r="Z73" s="45">
        <v>6.4</v>
      </c>
      <c r="AA73" s="45">
        <v>36</v>
      </c>
      <c r="AB73" s="45">
        <v>40</v>
      </c>
      <c r="AC73" s="45">
        <v>40</v>
      </c>
      <c r="AD73" s="45">
        <v>30</v>
      </c>
      <c r="AE73" s="45">
        <v>8</v>
      </c>
      <c r="AF73" s="45">
        <v>2</v>
      </c>
      <c r="AG73" s="51"/>
      <c r="AH73" s="47">
        <f t="shared" si="2"/>
        <v>40</v>
      </c>
      <c r="AI73" s="48">
        <f t="shared" si="3"/>
        <v>-22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/>
      <c r="I74" s="64">
        <v>0</v>
      </c>
      <c r="J74" s="64">
        <v>0</v>
      </c>
      <c r="K74" s="64">
        <v>0</v>
      </c>
      <c r="L74" s="64">
        <v>0</v>
      </c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-326</v>
      </c>
      <c r="C75" s="64">
        <v>-310</v>
      </c>
      <c r="D75" s="64">
        <v>-287</v>
      </c>
      <c r="E75" s="64">
        <v>-377</v>
      </c>
      <c r="F75" s="64">
        <v>-395.7</v>
      </c>
      <c r="G75" s="64">
        <v>-405</v>
      </c>
      <c r="H75" s="64">
        <v>-433</v>
      </c>
      <c r="I75" s="64">
        <v>-447</v>
      </c>
      <c r="J75" s="64">
        <v>-434</v>
      </c>
      <c r="K75" s="64">
        <v>-453</v>
      </c>
      <c r="L75" s="64">
        <v>-399</v>
      </c>
      <c r="M75" s="64">
        <v>-300.60000000000002</v>
      </c>
      <c r="N75" s="64">
        <v>-269.60000000000002</v>
      </c>
      <c r="O75" s="64">
        <v>-220.9</v>
      </c>
      <c r="P75" s="64">
        <v>-172</v>
      </c>
      <c r="Q75" s="64">
        <v>-185.7</v>
      </c>
      <c r="R75" s="64">
        <v>-170</v>
      </c>
      <c r="S75" s="64">
        <v>-129</v>
      </c>
      <c r="T75" s="64">
        <v>-125</v>
      </c>
      <c r="U75" s="64">
        <v>-145.1</v>
      </c>
      <c r="V75" s="64">
        <v>-250</v>
      </c>
      <c r="W75" s="64">
        <v>-231</v>
      </c>
      <c r="X75" s="64">
        <v>-412.4</v>
      </c>
      <c r="Y75" s="64">
        <v>-364</v>
      </c>
      <c r="Z75" s="64">
        <v>-292</v>
      </c>
      <c r="AA75" s="64">
        <v>-280</v>
      </c>
      <c r="AB75" s="64">
        <v>-260</v>
      </c>
      <c r="AC75" s="64">
        <v>-270</v>
      </c>
      <c r="AD75" s="64">
        <v>-294</v>
      </c>
      <c r="AE75" s="64">
        <v>-276</v>
      </c>
      <c r="AF75" s="64">
        <v>-300</v>
      </c>
      <c r="AG75" s="74"/>
      <c r="AH75" s="47">
        <f t="shared" si="2"/>
        <v>-125</v>
      </c>
      <c r="AI75" s="48">
        <f t="shared" si="3"/>
        <v>-453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>
        <v>0</v>
      </c>
      <c r="E76" s="75"/>
      <c r="F76" s="75"/>
      <c r="G76" s="75"/>
      <c r="H76" s="75"/>
      <c r="I76" s="75"/>
      <c r="J76" s="75">
        <v>0</v>
      </c>
      <c r="K76" s="75">
        <v>0</v>
      </c>
      <c r="L76" s="75">
        <v>0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>
        <v>0</v>
      </c>
      <c r="C77" s="45">
        <v>0</v>
      </c>
      <c r="D77" s="45">
        <v>0</v>
      </c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>
        <v>0</v>
      </c>
      <c r="C78" s="45">
        <v>0</v>
      </c>
      <c r="D78" s="45">
        <v>0</v>
      </c>
      <c r="E78" s="76"/>
      <c r="F78" s="76"/>
      <c r="G78" s="76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>
        <v>0</v>
      </c>
      <c r="C79" s="45">
        <v>0</v>
      </c>
      <c r="D79" s="45">
        <v>0</v>
      </c>
      <c r="E79" s="76"/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>
        <v>0</v>
      </c>
      <c r="C80" s="45">
        <v>0</v>
      </c>
      <c r="D80" s="45">
        <v>0</v>
      </c>
      <c r="E80" s="76"/>
      <c r="F80" s="76"/>
      <c r="G80" s="76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>
        <v>14</v>
      </c>
      <c r="AM80" s="79">
        <v>10</v>
      </c>
      <c r="AN80" s="80"/>
    </row>
    <row r="81" spans="1:40" x14ac:dyDescent="0.25">
      <c r="A81" s="53" t="s">
        <v>90</v>
      </c>
      <c r="B81" s="45">
        <v>0</v>
      </c>
      <c r="C81" s="45">
        <v>0</v>
      </c>
      <c r="D81" s="45">
        <v>0</v>
      </c>
      <c r="E81" s="76"/>
      <c r="F81" s="76"/>
      <c r="G81" s="76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>
        <v>533554.48</v>
      </c>
      <c r="AM81" s="75">
        <v>533330.87</v>
      </c>
      <c r="AN81" s="82">
        <f>AL81-AM81</f>
        <v>223.60999999998603</v>
      </c>
    </row>
    <row r="82" spans="1:40" x14ac:dyDescent="0.25">
      <c r="A82" s="83" t="s">
        <v>92</v>
      </c>
      <c r="B82" s="45">
        <v>0</v>
      </c>
      <c r="C82" s="45">
        <v>0</v>
      </c>
      <c r="D82" s="45">
        <v>0</v>
      </c>
      <c r="E82" s="76"/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>
        <v>377068.94</v>
      </c>
      <c r="AM82" s="75">
        <v>376844.36</v>
      </c>
      <c r="AN82" s="82">
        <f>AL82-AM82</f>
        <v>224.5800000000163</v>
      </c>
    </row>
    <row r="83" spans="1:40" ht="15.75" thickBot="1" x14ac:dyDescent="0.3">
      <c r="A83" s="83" t="s">
        <v>94</v>
      </c>
      <c r="B83" s="45">
        <v>0</v>
      </c>
      <c r="C83" s="45">
        <v>0</v>
      </c>
      <c r="D83" s="45">
        <v>0</v>
      </c>
      <c r="E83" s="76"/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>
        <f>AN81+AN82</f>
        <v>448.19000000000233</v>
      </c>
    </row>
    <row r="84" spans="1:40" ht="15.75" thickBot="1" x14ac:dyDescent="0.3">
      <c r="A84" s="73" t="s">
        <v>95</v>
      </c>
      <c r="B84" s="60">
        <f t="shared" ref="B84:AF84" si="10">SUMIF(B73:B83,"&gt;0")</f>
        <v>3.6</v>
      </c>
      <c r="C84" s="60">
        <f t="shared" si="10"/>
        <v>11.4</v>
      </c>
      <c r="D84" s="60">
        <f t="shared" si="10"/>
        <v>22.4</v>
      </c>
      <c r="E84" s="60">
        <f t="shared" si="10"/>
        <v>11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>SUMIF(R73:R83,"&gt;0")</f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6.4</v>
      </c>
      <c r="AA84" s="60">
        <f t="shared" si="10"/>
        <v>36</v>
      </c>
      <c r="AB84" s="60">
        <f t="shared" si="10"/>
        <v>40</v>
      </c>
      <c r="AC84" s="60">
        <f t="shared" si="10"/>
        <v>40</v>
      </c>
      <c r="AD84" s="60">
        <f t="shared" si="10"/>
        <v>30</v>
      </c>
      <c r="AE84" s="60">
        <f t="shared" si="10"/>
        <v>8</v>
      </c>
      <c r="AF84" s="60">
        <f t="shared" si="10"/>
        <v>2</v>
      </c>
      <c r="AG84" s="87">
        <f>SUM(AG73:AG83)</f>
        <v>0</v>
      </c>
      <c r="AH84" s="47">
        <f t="shared" si="8"/>
        <v>40</v>
      </c>
      <c r="AI84" s="48">
        <f t="shared" si="9"/>
        <v>0</v>
      </c>
      <c r="AK84" s="85"/>
      <c r="AL84" s="76"/>
      <c r="AM84" s="88"/>
      <c r="AN84" s="186">
        <f>448.2/4</f>
        <v>112.05</v>
      </c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1972.04</v>
      </c>
      <c r="C89" s="94">
        <f t="shared" si="11"/>
        <v>1869.44</v>
      </c>
      <c r="D89" s="94">
        <f t="shared" si="11"/>
        <v>1850.44</v>
      </c>
      <c r="E89" s="94">
        <f t="shared" si="11"/>
        <v>1870.84</v>
      </c>
      <c r="F89" s="94">
        <f t="shared" si="11"/>
        <v>1860.34</v>
      </c>
      <c r="G89" s="94">
        <f t="shared" si="11"/>
        <v>1877.34</v>
      </c>
      <c r="H89" s="94">
        <f t="shared" si="11"/>
        <v>1866.64</v>
      </c>
      <c r="I89" s="94">
        <f t="shared" si="11"/>
        <v>1865.8400000000001</v>
      </c>
      <c r="J89" s="94">
        <f t="shared" si="11"/>
        <v>1860.14</v>
      </c>
      <c r="K89" s="94">
        <f t="shared" si="11"/>
        <v>1907.14</v>
      </c>
      <c r="L89" s="94">
        <f t="shared" si="11"/>
        <v>1908.04</v>
      </c>
      <c r="M89" s="94">
        <f t="shared" si="11"/>
        <v>1910.84</v>
      </c>
      <c r="N89" s="94">
        <f t="shared" si="11"/>
        <v>1843.34</v>
      </c>
      <c r="O89" s="94">
        <f t="shared" si="11"/>
        <v>1905.3400000000001</v>
      </c>
      <c r="P89" s="94">
        <f t="shared" si="11"/>
        <v>1856.44</v>
      </c>
      <c r="Q89" s="94">
        <f t="shared" si="11"/>
        <v>1878.3400000000001</v>
      </c>
      <c r="R89" s="94">
        <f>R50+R54+R72+R68+R84+R88</f>
        <v>1879.34</v>
      </c>
      <c r="S89" s="94">
        <f t="shared" si="11"/>
        <v>1878.1399999999999</v>
      </c>
      <c r="T89" s="94">
        <f t="shared" si="11"/>
        <v>1826.44</v>
      </c>
      <c r="U89" s="94">
        <f t="shared" si="11"/>
        <v>1832.8400000000001</v>
      </c>
      <c r="V89" s="94">
        <f t="shared" si="11"/>
        <v>1842.94</v>
      </c>
      <c r="W89" s="94">
        <f t="shared" si="11"/>
        <v>1841.8400000000001</v>
      </c>
      <c r="X89" s="94">
        <f t="shared" si="11"/>
        <v>1965.5400000000002</v>
      </c>
      <c r="Y89" s="94">
        <f t="shared" si="11"/>
        <v>1964.1400000000003</v>
      </c>
      <c r="Z89" s="94">
        <f t="shared" si="11"/>
        <v>2072.04</v>
      </c>
      <c r="AA89" s="94">
        <f t="shared" si="11"/>
        <v>2101.64</v>
      </c>
      <c r="AB89" s="94">
        <f t="shared" si="11"/>
        <v>2039.44</v>
      </c>
      <c r="AC89" s="94">
        <f t="shared" si="11"/>
        <v>2065.14</v>
      </c>
      <c r="AD89" s="94">
        <f t="shared" si="11"/>
        <v>2033.1399999999999</v>
      </c>
      <c r="AE89" s="94">
        <f t="shared" si="11"/>
        <v>2011.1399999999999</v>
      </c>
      <c r="AF89" s="94">
        <f t="shared" si="11"/>
        <v>2005.1399999999999</v>
      </c>
      <c r="AG89" s="61">
        <f t="shared" si="11"/>
        <v>2111.5500000000002</v>
      </c>
      <c r="AH89" s="47">
        <f t="shared" si="8"/>
        <v>2101.64</v>
      </c>
      <c r="AI89" s="48">
        <f t="shared" si="9"/>
        <v>1826.44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F91" si="12">B89+B90</f>
        <v>1972.04</v>
      </c>
      <c r="C91" s="94">
        <f t="shared" si="12"/>
        <v>1869.44</v>
      </c>
      <c r="D91" s="94">
        <f t="shared" si="12"/>
        <v>1850.44</v>
      </c>
      <c r="E91" s="94">
        <f t="shared" si="12"/>
        <v>1870.84</v>
      </c>
      <c r="F91" s="94">
        <f t="shared" si="12"/>
        <v>1860.34</v>
      </c>
      <c r="G91" s="94">
        <f t="shared" si="12"/>
        <v>1877.34</v>
      </c>
      <c r="H91" s="94">
        <f t="shared" si="12"/>
        <v>1866.64</v>
      </c>
      <c r="I91" s="94">
        <f t="shared" si="12"/>
        <v>1865.8400000000001</v>
      </c>
      <c r="J91" s="94">
        <f t="shared" si="12"/>
        <v>1860.14</v>
      </c>
      <c r="K91" s="94">
        <f t="shared" si="12"/>
        <v>1907.14</v>
      </c>
      <c r="L91" s="94">
        <f t="shared" si="12"/>
        <v>1908.04</v>
      </c>
      <c r="M91" s="94">
        <f t="shared" si="12"/>
        <v>1910.84</v>
      </c>
      <c r="N91" s="94">
        <f t="shared" si="12"/>
        <v>1843.34</v>
      </c>
      <c r="O91" s="94">
        <f t="shared" si="12"/>
        <v>1905.3400000000001</v>
      </c>
      <c r="P91" s="94">
        <f t="shared" si="12"/>
        <v>1856.44</v>
      </c>
      <c r="Q91" s="94">
        <f t="shared" si="12"/>
        <v>1878.3400000000001</v>
      </c>
      <c r="R91" s="94">
        <f>R89+R90</f>
        <v>1879.34</v>
      </c>
      <c r="S91" s="94">
        <f t="shared" si="12"/>
        <v>1878.1399999999999</v>
      </c>
      <c r="T91" s="94">
        <f t="shared" si="12"/>
        <v>1826.44</v>
      </c>
      <c r="U91" s="94">
        <f t="shared" si="12"/>
        <v>1832.8400000000001</v>
      </c>
      <c r="V91" s="94">
        <f t="shared" si="12"/>
        <v>1842.94</v>
      </c>
      <c r="W91" s="94">
        <f t="shared" si="12"/>
        <v>1841.8400000000001</v>
      </c>
      <c r="X91" s="94">
        <f t="shared" si="12"/>
        <v>1965.5400000000002</v>
      </c>
      <c r="Y91" s="94">
        <f t="shared" si="12"/>
        <v>1964.1400000000003</v>
      </c>
      <c r="Z91" s="94">
        <f t="shared" si="12"/>
        <v>2072.04</v>
      </c>
      <c r="AA91" s="94">
        <f t="shared" si="12"/>
        <v>2101.64</v>
      </c>
      <c r="AB91" s="94">
        <f t="shared" si="12"/>
        <v>2039.44</v>
      </c>
      <c r="AC91" s="94">
        <f t="shared" si="12"/>
        <v>2065.14</v>
      </c>
      <c r="AD91" s="94">
        <f t="shared" si="12"/>
        <v>2033.1399999999999</v>
      </c>
      <c r="AE91" s="94">
        <f t="shared" si="12"/>
        <v>2011.1399999999999</v>
      </c>
      <c r="AF91" s="94">
        <f t="shared" si="12"/>
        <v>2005.1399999999999</v>
      </c>
      <c r="AG91" s="87">
        <f>AG88+AG84+AG72+AG68+AG50+AG90</f>
        <v>1573.45</v>
      </c>
      <c r="AH91" s="47">
        <f t="shared" si="8"/>
        <v>2101.64</v>
      </c>
      <c r="AI91" s="48">
        <f t="shared" si="9"/>
        <v>1826.44</v>
      </c>
    </row>
    <row r="92" spans="1:40" ht="15.75" thickBot="1" x14ac:dyDescent="0.3">
      <c r="A92" s="73" t="s">
        <v>103</v>
      </c>
      <c r="B92" s="94">
        <f t="shared" ref="B92:AF92" si="13">B91-B99</f>
        <v>1972.04</v>
      </c>
      <c r="C92" s="94">
        <f t="shared" si="13"/>
        <v>1869.44</v>
      </c>
      <c r="D92" s="94">
        <f t="shared" si="13"/>
        <v>1850.44</v>
      </c>
      <c r="E92" s="94">
        <f t="shared" si="13"/>
        <v>1870.84</v>
      </c>
      <c r="F92" s="94">
        <f t="shared" si="13"/>
        <v>1860.34</v>
      </c>
      <c r="G92" s="94">
        <f t="shared" si="13"/>
        <v>1877.34</v>
      </c>
      <c r="H92" s="94">
        <f t="shared" si="13"/>
        <v>1866.64</v>
      </c>
      <c r="I92" s="94">
        <f t="shared" si="13"/>
        <v>1865.8400000000001</v>
      </c>
      <c r="J92" s="94">
        <f t="shared" si="13"/>
        <v>1860.14</v>
      </c>
      <c r="K92" s="94">
        <f t="shared" si="13"/>
        <v>1907.14</v>
      </c>
      <c r="L92" s="94">
        <f t="shared" si="13"/>
        <v>1908.04</v>
      </c>
      <c r="M92" s="94">
        <f t="shared" si="13"/>
        <v>1910.84</v>
      </c>
      <c r="N92" s="94">
        <f t="shared" si="13"/>
        <v>1843.34</v>
      </c>
      <c r="O92" s="94">
        <f t="shared" si="13"/>
        <v>1905.3400000000001</v>
      </c>
      <c r="P92" s="94">
        <f t="shared" si="13"/>
        <v>1856.44</v>
      </c>
      <c r="Q92" s="94">
        <f t="shared" si="13"/>
        <v>1878.3400000000001</v>
      </c>
      <c r="R92" s="94">
        <f>R91-R99</f>
        <v>1879.34</v>
      </c>
      <c r="S92" s="94">
        <f t="shared" si="13"/>
        <v>1878.1399999999999</v>
      </c>
      <c r="T92" s="94">
        <f t="shared" si="13"/>
        <v>1826.44</v>
      </c>
      <c r="U92" s="94">
        <f t="shared" si="13"/>
        <v>1832.8400000000001</v>
      </c>
      <c r="V92" s="94">
        <f t="shared" si="13"/>
        <v>1842.94</v>
      </c>
      <c r="W92" s="94">
        <f t="shared" si="13"/>
        <v>1841.8400000000001</v>
      </c>
      <c r="X92" s="94">
        <f t="shared" si="13"/>
        <v>1965.5400000000002</v>
      </c>
      <c r="Y92" s="94">
        <f t="shared" si="13"/>
        <v>1964.1400000000003</v>
      </c>
      <c r="Z92" s="94">
        <f t="shared" si="13"/>
        <v>2072.04</v>
      </c>
      <c r="AA92" s="94">
        <f t="shared" si="13"/>
        <v>2101.64</v>
      </c>
      <c r="AB92" s="94">
        <f t="shared" si="13"/>
        <v>2039.44</v>
      </c>
      <c r="AC92" s="94">
        <f t="shared" si="13"/>
        <v>2065.14</v>
      </c>
      <c r="AD92" s="94">
        <f t="shared" si="13"/>
        <v>2033.1399999999999</v>
      </c>
      <c r="AE92" s="94">
        <f t="shared" si="13"/>
        <v>2011.1399999999999</v>
      </c>
      <c r="AF92" s="94">
        <f t="shared" si="13"/>
        <v>2005.1399999999999</v>
      </c>
      <c r="AG92" s="87"/>
      <c r="AH92" s="47">
        <f t="shared" si="8"/>
        <v>2101.64</v>
      </c>
      <c r="AI92" s="48">
        <f t="shared" si="9"/>
        <v>1826.44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87"/>
      <c r="AH99" s="47">
        <f t="shared" si="8"/>
        <v>0</v>
      </c>
      <c r="AI99" s="48">
        <f t="shared" si="9"/>
        <v>0</v>
      </c>
      <c r="AK99" s="50"/>
    </row>
    <row r="100" spans="1:37" ht="15.75" thickBot="1" x14ac:dyDescent="0.3">
      <c r="A100" s="73" t="s">
        <v>108</v>
      </c>
      <c r="B100" s="60">
        <f t="shared" ref="B100:AF100" si="14">B84-B99</f>
        <v>3.6</v>
      </c>
      <c r="C100" s="60">
        <f t="shared" si="14"/>
        <v>11.4</v>
      </c>
      <c r="D100" s="60">
        <f t="shared" si="14"/>
        <v>22.4</v>
      </c>
      <c r="E100" s="60">
        <f t="shared" si="14"/>
        <v>11</v>
      </c>
      <c r="F100" s="60">
        <f t="shared" si="14"/>
        <v>0</v>
      </c>
      <c r="G100" s="60">
        <f t="shared" si="14"/>
        <v>0</v>
      </c>
      <c r="H100" s="60">
        <f t="shared" si="14"/>
        <v>0</v>
      </c>
      <c r="I100" s="60">
        <f t="shared" si="14"/>
        <v>0</v>
      </c>
      <c r="J100" s="60">
        <f t="shared" si="14"/>
        <v>0</v>
      </c>
      <c r="K100" s="60">
        <f t="shared" si="14"/>
        <v>0</v>
      </c>
      <c r="L100" s="60">
        <f t="shared" si="14"/>
        <v>0</v>
      </c>
      <c r="M100" s="60">
        <f t="shared" si="14"/>
        <v>0</v>
      </c>
      <c r="N100" s="60">
        <f t="shared" si="14"/>
        <v>0</v>
      </c>
      <c r="O100" s="60">
        <f t="shared" si="14"/>
        <v>0</v>
      </c>
      <c r="P100" s="60">
        <f t="shared" si="14"/>
        <v>0</v>
      </c>
      <c r="Q100" s="60">
        <f t="shared" si="14"/>
        <v>0</v>
      </c>
      <c r="R100" s="60">
        <f>R84-R99</f>
        <v>0</v>
      </c>
      <c r="S100" s="60">
        <f t="shared" si="14"/>
        <v>0</v>
      </c>
      <c r="T100" s="60">
        <f t="shared" si="14"/>
        <v>0</v>
      </c>
      <c r="U100" s="60">
        <f t="shared" si="14"/>
        <v>0</v>
      </c>
      <c r="V100" s="60">
        <f t="shared" si="14"/>
        <v>0</v>
      </c>
      <c r="W100" s="60">
        <f t="shared" si="14"/>
        <v>0</v>
      </c>
      <c r="X100" s="60">
        <f t="shared" si="14"/>
        <v>0</v>
      </c>
      <c r="Y100" s="60">
        <f t="shared" si="14"/>
        <v>0</v>
      </c>
      <c r="Z100" s="60">
        <f t="shared" si="14"/>
        <v>6.4</v>
      </c>
      <c r="AA100" s="60">
        <f t="shared" si="14"/>
        <v>36</v>
      </c>
      <c r="AB100" s="60">
        <f t="shared" si="14"/>
        <v>40</v>
      </c>
      <c r="AC100" s="60">
        <f t="shared" si="14"/>
        <v>40</v>
      </c>
      <c r="AD100" s="60">
        <f t="shared" si="14"/>
        <v>30</v>
      </c>
      <c r="AE100" s="60">
        <f t="shared" si="14"/>
        <v>8</v>
      </c>
      <c r="AF100" s="60">
        <f t="shared" si="14"/>
        <v>2</v>
      </c>
      <c r="AG100" s="87"/>
      <c r="AH100" s="47">
        <f t="shared" si="8"/>
        <v>40</v>
      </c>
      <c r="AI100" s="48">
        <f t="shared" si="9"/>
        <v>0</v>
      </c>
    </row>
    <row r="101" spans="1:37" x14ac:dyDescent="0.25">
      <c r="A101" s="99" t="s">
        <v>109</v>
      </c>
      <c r="B101" s="100">
        <v>50.091999999999999</v>
      </c>
      <c r="C101" s="100">
        <v>50.055</v>
      </c>
      <c r="D101" s="100">
        <v>50.008000000000003</v>
      </c>
      <c r="E101" s="100">
        <v>50.05</v>
      </c>
      <c r="F101" s="100">
        <v>50.015999999999998</v>
      </c>
      <c r="G101" s="100">
        <v>49.985999999999997</v>
      </c>
      <c r="H101" s="100">
        <v>49.985999999999997</v>
      </c>
      <c r="I101" s="100">
        <v>49.948999999999998</v>
      </c>
      <c r="J101" s="100">
        <v>50.015000000000001</v>
      </c>
      <c r="K101" s="100">
        <v>50.005000000000003</v>
      </c>
      <c r="L101" s="100">
        <v>49.994999999999997</v>
      </c>
      <c r="M101" s="100">
        <v>49.875</v>
      </c>
      <c r="N101" s="100">
        <v>50.033999999999999</v>
      </c>
      <c r="O101" s="100">
        <v>50.070999999999998</v>
      </c>
      <c r="P101" s="100">
        <v>50.061</v>
      </c>
      <c r="Q101" s="100">
        <v>50.057000000000002</v>
      </c>
      <c r="R101" s="100">
        <v>50.064999999999998</v>
      </c>
      <c r="S101" s="100">
        <v>50.033000000000001</v>
      </c>
      <c r="T101" s="100">
        <v>50.07</v>
      </c>
      <c r="U101" s="100">
        <v>49.948</v>
      </c>
      <c r="V101" s="100">
        <v>49.96</v>
      </c>
      <c r="W101" s="100">
        <v>50</v>
      </c>
      <c r="X101" s="100">
        <v>49.984999999999999</v>
      </c>
      <c r="Y101" s="100">
        <v>49.994</v>
      </c>
      <c r="Z101" s="100">
        <v>50.055999999999997</v>
      </c>
      <c r="AA101" s="100">
        <v>50.055999999999997</v>
      </c>
      <c r="AB101" s="100">
        <v>50.06</v>
      </c>
      <c r="AC101" s="100">
        <v>50.06</v>
      </c>
      <c r="AD101" s="100">
        <v>50.07</v>
      </c>
      <c r="AE101" s="100">
        <v>50.02</v>
      </c>
      <c r="AF101" s="100">
        <v>50.05</v>
      </c>
      <c r="AG101" s="101"/>
      <c r="AH101" s="47">
        <f t="shared" si="8"/>
        <v>50.091999999999999</v>
      </c>
      <c r="AI101" s="48">
        <f t="shared" si="9"/>
        <v>49.875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129.6</v>
      </c>
      <c r="C103" s="64">
        <v>130</v>
      </c>
      <c r="D103" s="64">
        <v>129.6</v>
      </c>
      <c r="E103" s="64">
        <v>130.30000000000001</v>
      </c>
      <c r="F103" s="64">
        <v>130.9</v>
      </c>
      <c r="G103" s="64">
        <v>130.9</v>
      </c>
      <c r="H103" s="64">
        <v>130.9</v>
      </c>
      <c r="I103" s="64">
        <v>127.6</v>
      </c>
      <c r="J103" s="64">
        <v>126.3</v>
      </c>
      <c r="K103" s="64">
        <v>126.2</v>
      </c>
      <c r="L103" s="64">
        <v>124.1</v>
      </c>
      <c r="M103" s="64">
        <v>125.4</v>
      </c>
      <c r="N103" s="64">
        <v>124.1</v>
      </c>
      <c r="O103" s="64">
        <v>125.1</v>
      </c>
      <c r="P103" s="64">
        <v>123.5</v>
      </c>
      <c r="Q103" s="64">
        <v>123.7</v>
      </c>
      <c r="R103" s="64">
        <v>126.8</v>
      </c>
      <c r="S103" s="64">
        <v>125.8</v>
      </c>
      <c r="T103" s="64">
        <v>126.4</v>
      </c>
      <c r="U103" s="64">
        <v>126.5</v>
      </c>
      <c r="V103" s="64">
        <v>127.5</v>
      </c>
      <c r="W103" s="64">
        <v>128</v>
      </c>
      <c r="X103" s="64">
        <v>128.19999999999999</v>
      </c>
      <c r="Y103" s="64">
        <v>126.7</v>
      </c>
      <c r="Z103" s="64">
        <v>124.9</v>
      </c>
      <c r="AA103" s="64">
        <v>124.9</v>
      </c>
      <c r="AB103" s="64">
        <v>128.80000000000001</v>
      </c>
      <c r="AC103" s="64">
        <v>128.80000000000001</v>
      </c>
      <c r="AD103" s="64">
        <v>128.80000000000001</v>
      </c>
      <c r="AE103" s="64">
        <v>128.80000000000001</v>
      </c>
      <c r="AF103" s="64">
        <v>128.30000000000001</v>
      </c>
      <c r="AG103" s="103"/>
      <c r="AH103" s="47">
        <f t="shared" si="8"/>
        <v>130.9</v>
      </c>
      <c r="AI103" s="48">
        <f t="shared" si="9"/>
        <v>123.5</v>
      </c>
    </row>
    <row r="104" spans="1:37" x14ac:dyDescent="0.25">
      <c r="A104" s="102" t="s">
        <v>112</v>
      </c>
      <c r="B104" s="64">
        <v>130</v>
      </c>
      <c r="C104" s="64">
        <v>128.69999999999999</v>
      </c>
      <c r="D104" s="64">
        <v>130.9</v>
      </c>
      <c r="E104" s="64">
        <v>131.5</v>
      </c>
      <c r="F104" s="64">
        <v>131.80000000000001</v>
      </c>
      <c r="G104" s="64">
        <v>131.80000000000001</v>
      </c>
      <c r="H104" s="64">
        <v>131.80000000000001</v>
      </c>
      <c r="I104" s="64">
        <v>131.19999999999999</v>
      </c>
      <c r="J104" s="64">
        <v>128</v>
      </c>
      <c r="K104" s="64">
        <v>129.69999999999999</v>
      </c>
      <c r="L104" s="64">
        <v>128.6</v>
      </c>
      <c r="M104" s="64">
        <v>127.7</v>
      </c>
      <c r="N104" s="64">
        <v>127.7</v>
      </c>
      <c r="O104" s="64">
        <v>129.30000000000001</v>
      </c>
      <c r="P104" s="64">
        <v>127.9</v>
      </c>
      <c r="Q104" s="64">
        <v>129</v>
      </c>
      <c r="R104" s="64">
        <v>125</v>
      </c>
      <c r="S104" s="64">
        <v>124.7</v>
      </c>
      <c r="T104" s="64">
        <v>130</v>
      </c>
      <c r="U104" s="64">
        <v>126.2</v>
      </c>
      <c r="V104" s="64">
        <v>128.4</v>
      </c>
      <c r="W104" s="64">
        <v>128</v>
      </c>
      <c r="X104" s="64">
        <v>128.6</v>
      </c>
      <c r="Y104" s="64">
        <v>125.5</v>
      </c>
      <c r="Z104" s="64">
        <v>127.3</v>
      </c>
      <c r="AA104" s="64">
        <v>127.3</v>
      </c>
      <c r="AB104" s="64">
        <v>125.8</v>
      </c>
      <c r="AC104" s="64">
        <v>125.8</v>
      </c>
      <c r="AD104" s="64">
        <v>125.8</v>
      </c>
      <c r="AE104" s="64">
        <v>125.8</v>
      </c>
      <c r="AF104" s="64">
        <v>130.5</v>
      </c>
      <c r="AG104" s="103"/>
      <c r="AH104" s="47">
        <f t="shared" si="8"/>
        <v>131.80000000000001</v>
      </c>
      <c r="AI104" s="48">
        <f t="shared" si="9"/>
        <v>124.7</v>
      </c>
    </row>
    <row r="105" spans="1:37" x14ac:dyDescent="0.25">
      <c r="A105" s="104" t="s">
        <v>113</v>
      </c>
      <c r="B105" s="64">
        <v>133.30000000000001</v>
      </c>
      <c r="C105" s="64">
        <v>131.80000000000001</v>
      </c>
      <c r="D105" s="64">
        <v>133.4</v>
      </c>
      <c r="E105" s="64">
        <v>132</v>
      </c>
      <c r="F105" s="64">
        <v>133.80000000000001</v>
      </c>
      <c r="G105" s="64">
        <v>133.80000000000001</v>
      </c>
      <c r="H105" s="64">
        <v>133.80000000000001</v>
      </c>
      <c r="I105" s="64">
        <v>133.1</v>
      </c>
      <c r="J105" s="64">
        <v>129.9</v>
      </c>
      <c r="K105" s="64">
        <v>131.19999999999999</v>
      </c>
      <c r="L105" s="64">
        <v>128.9</v>
      </c>
      <c r="M105" s="64">
        <v>127.8</v>
      </c>
      <c r="N105" s="64">
        <v>128.69999999999999</v>
      </c>
      <c r="O105" s="64">
        <v>130.6</v>
      </c>
      <c r="P105" s="64">
        <v>128.5</v>
      </c>
      <c r="Q105" s="64">
        <v>130.4</v>
      </c>
      <c r="R105" s="64">
        <v>126.5</v>
      </c>
      <c r="S105" s="64">
        <v>125</v>
      </c>
      <c r="T105" s="64">
        <v>130</v>
      </c>
      <c r="U105" s="64">
        <v>128.19999999999999</v>
      </c>
      <c r="V105" s="64">
        <v>130.19999999999999</v>
      </c>
      <c r="W105" s="64">
        <v>129</v>
      </c>
      <c r="X105" s="64">
        <v>130.69999999999999</v>
      </c>
      <c r="Y105" s="64">
        <v>126.6</v>
      </c>
      <c r="Z105" s="64">
        <v>127.6</v>
      </c>
      <c r="AA105" s="64">
        <v>127.6</v>
      </c>
      <c r="AB105" s="64">
        <v>128.69999999999999</v>
      </c>
      <c r="AC105" s="64">
        <v>128.69999999999999</v>
      </c>
      <c r="AD105" s="64">
        <v>128.69999999999999</v>
      </c>
      <c r="AE105" s="64">
        <v>128.69999999999999</v>
      </c>
      <c r="AF105" s="64">
        <v>132.30000000000001</v>
      </c>
      <c r="AG105" s="103"/>
      <c r="AH105" s="47">
        <f t="shared" si="8"/>
        <v>133.80000000000001</v>
      </c>
      <c r="AI105" s="48">
        <f t="shared" si="9"/>
        <v>125</v>
      </c>
    </row>
    <row r="106" spans="1:37" x14ac:dyDescent="0.25">
      <c r="A106" s="104" t="s">
        <v>114</v>
      </c>
      <c r="B106" s="105">
        <v>130.6</v>
      </c>
      <c r="C106" s="105">
        <v>130.5</v>
      </c>
      <c r="D106" s="105">
        <v>130.6</v>
      </c>
      <c r="E106" s="105">
        <v>131.6</v>
      </c>
      <c r="F106" s="105">
        <v>133.1</v>
      </c>
      <c r="G106" s="105">
        <v>133.1</v>
      </c>
      <c r="H106" s="105">
        <v>133.1</v>
      </c>
      <c r="I106" s="105">
        <v>132.19999999999999</v>
      </c>
      <c r="J106" s="105">
        <v>130.9</v>
      </c>
      <c r="K106" s="105">
        <v>130.6</v>
      </c>
      <c r="L106" s="105">
        <v>129.6</v>
      </c>
      <c r="M106" s="105">
        <v>131.9</v>
      </c>
      <c r="N106" s="105">
        <v>129.4</v>
      </c>
      <c r="O106" s="105">
        <v>131.69999999999999</v>
      </c>
      <c r="P106" s="105">
        <v>131.30000000000001</v>
      </c>
      <c r="Q106" s="105">
        <v>130.9</v>
      </c>
      <c r="R106" s="105">
        <v>132.6</v>
      </c>
      <c r="S106" s="105">
        <v>131.5</v>
      </c>
      <c r="T106" s="105">
        <v>133</v>
      </c>
      <c r="U106" s="105">
        <v>131.5</v>
      </c>
      <c r="V106" s="105">
        <v>130.9</v>
      </c>
      <c r="W106" s="105">
        <v>132</v>
      </c>
      <c r="X106" s="105">
        <v>131.19999999999999</v>
      </c>
      <c r="Y106" s="105">
        <v>131.80000000000001</v>
      </c>
      <c r="Z106" s="105">
        <v>131.69999999999999</v>
      </c>
      <c r="AA106" s="105">
        <v>131.69999999999999</v>
      </c>
      <c r="AB106" s="105">
        <v>133</v>
      </c>
      <c r="AC106" s="105">
        <v>133</v>
      </c>
      <c r="AD106" s="105">
        <v>133</v>
      </c>
      <c r="AE106" s="105">
        <v>133</v>
      </c>
      <c r="AF106" s="105">
        <v>131.6</v>
      </c>
      <c r="AG106" s="106"/>
      <c r="AH106" s="47">
        <f t="shared" si="8"/>
        <v>133.1</v>
      </c>
      <c r="AI106" s="48">
        <f t="shared" si="9"/>
        <v>129.4</v>
      </c>
    </row>
    <row r="107" spans="1:37" x14ac:dyDescent="0.25">
      <c r="A107" s="102" t="s">
        <v>115</v>
      </c>
      <c r="B107" s="64">
        <v>128.80000000000001</v>
      </c>
      <c r="C107" s="64">
        <v>132.30000000000001</v>
      </c>
      <c r="D107" s="64">
        <v>130</v>
      </c>
      <c r="E107" s="64">
        <v>130.9</v>
      </c>
      <c r="F107" s="64">
        <v>133.19999999999999</v>
      </c>
      <c r="G107" s="64">
        <v>133.19999999999999</v>
      </c>
      <c r="H107" s="64">
        <v>133.19999999999999</v>
      </c>
      <c r="I107" s="64">
        <v>134.5</v>
      </c>
      <c r="J107" s="64">
        <v>132.4</v>
      </c>
      <c r="K107" s="64">
        <v>137.9</v>
      </c>
      <c r="L107" s="64">
        <v>133.6</v>
      </c>
      <c r="M107" s="64">
        <v>126.6</v>
      </c>
      <c r="N107" s="64">
        <v>130.19999999999999</v>
      </c>
      <c r="O107" s="64">
        <v>132.9</v>
      </c>
      <c r="P107" s="64">
        <v>127.6</v>
      </c>
      <c r="Q107" s="64">
        <v>133</v>
      </c>
      <c r="R107" s="64">
        <v>136.5</v>
      </c>
      <c r="S107" s="64">
        <v>130.1</v>
      </c>
      <c r="T107" s="64">
        <v>128.1</v>
      </c>
      <c r="U107" s="64">
        <v>131.69999999999999</v>
      </c>
      <c r="V107" s="64">
        <v>135.5</v>
      </c>
      <c r="W107" s="64">
        <v>129</v>
      </c>
      <c r="X107" s="64">
        <v>131.80000000000001</v>
      </c>
      <c r="Y107" s="64">
        <v>131.69999999999999</v>
      </c>
      <c r="Z107" s="64">
        <v>129.69999999999999</v>
      </c>
      <c r="AA107" s="64">
        <v>129.69999999999999</v>
      </c>
      <c r="AB107" s="64">
        <v>129.6</v>
      </c>
      <c r="AC107" s="64">
        <v>129.6</v>
      </c>
      <c r="AD107" s="64">
        <v>129.6</v>
      </c>
      <c r="AE107" s="64">
        <v>129.6</v>
      </c>
      <c r="AF107" s="64">
        <v>131</v>
      </c>
      <c r="AG107" s="103"/>
      <c r="AH107" s="47">
        <f t="shared" si="8"/>
        <v>137.9</v>
      </c>
      <c r="AI107" s="48">
        <f t="shared" si="9"/>
        <v>126.6</v>
      </c>
    </row>
    <row r="108" spans="1:37" ht="15.75" thickBot="1" x14ac:dyDescent="0.3">
      <c r="A108" s="102" t="s">
        <v>116</v>
      </c>
      <c r="B108" s="91">
        <v>65.3</v>
      </c>
      <c r="C108" s="91">
        <v>65.5</v>
      </c>
      <c r="D108" s="91">
        <v>65.400000000000006</v>
      </c>
      <c r="E108" s="91">
        <v>65.900000000000006</v>
      </c>
      <c r="F108" s="91">
        <v>66.099999999999994</v>
      </c>
      <c r="G108" s="91">
        <v>66.099999999999994</v>
      </c>
      <c r="H108" s="91">
        <v>66.099999999999994</v>
      </c>
      <c r="I108" s="91">
        <v>64.400000000000006</v>
      </c>
      <c r="J108" s="91">
        <v>63.9</v>
      </c>
      <c r="K108" s="91">
        <v>64</v>
      </c>
      <c r="L108" s="91">
        <v>62.8</v>
      </c>
      <c r="M108" s="91">
        <v>63.1</v>
      </c>
      <c r="N108" s="91">
        <v>62.9</v>
      </c>
      <c r="O108" s="91">
        <v>62.5</v>
      </c>
      <c r="P108" s="91">
        <v>61.7</v>
      </c>
      <c r="Q108" s="91">
        <v>62.2</v>
      </c>
      <c r="R108" s="91">
        <v>63.3</v>
      </c>
      <c r="S108" s="91">
        <v>62.7</v>
      </c>
      <c r="T108" s="91">
        <v>63.1</v>
      </c>
      <c r="U108" s="91">
        <v>63.3</v>
      </c>
      <c r="V108" s="91">
        <v>64</v>
      </c>
      <c r="W108" s="91">
        <v>64.2</v>
      </c>
      <c r="X108" s="91">
        <v>64.599999999999994</v>
      </c>
      <c r="Y108" s="91">
        <v>63.4</v>
      </c>
      <c r="Z108" s="91">
        <v>62.8</v>
      </c>
      <c r="AA108" s="91">
        <v>62.8</v>
      </c>
      <c r="AB108" s="91">
        <v>64.900000000000006</v>
      </c>
      <c r="AC108" s="91">
        <v>64.900000000000006</v>
      </c>
      <c r="AD108" s="91">
        <v>64.900000000000006</v>
      </c>
      <c r="AE108" s="91">
        <v>64.900000000000006</v>
      </c>
      <c r="AF108" s="91">
        <v>64.400000000000006</v>
      </c>
      <c r="AG108" s="107"/>
      <c r="AH108" s="47">
        <f t="shared" si="8"/>
        <v>66.099999999999994</v>
      </c>
      <c r="AI108" s="48">
        <f t="shared" si="9"/>
        <v>61.7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 t="shared" ref="B110:O110" si="15">SUM(B20,B26,B29:B30,B58,B60:B61,B63,B65,B111:B115,B138,B144,B150,B159,B161,B173,B180,B183:B184,B191,B193,B195,B199:B201,B203:B205,B210,B216:B217,B219:B221,B229,B234)</f>
        <v>70.400000000000006</v>
      </c>
      <c r="C110" s="110">
        <f t="shared" si="15"/>
        <v>64.64</v>
      </c>
      <c r="D110" s="110">
        <f t="shared" si="15"/>
        <v>54.54</v>
      </c>
      <c r="E110" s="110">
        <f t="shared" si="15"/>
        <v>52.539999999999971</v>
      </c>
      <c r="F110" s="110">
        <f t="shared" si="15"/>
        <v>51.140000000000015</v>
      </c>
      <c r="G110" s="110">
        <f t="shared" si="15"/>
        <v>62.44</v>
      </c>
      <c r="H110" s="110">
        <f t="shared" si="15"/>
        <v>91.84</v>
      </c>
      <c r="I110" s="110">
        <f t="shared" si="15"/>
        <v>135.98999999999998</v>
      </c>
      <c r="J110" s="110">
        <f t="shared" si="15"/>
        <v>124.03999999999999</v>
      </c>
      <c r="K110" s="110">
        <f t="shared" si="15"/>
        <v>191.34</v>
      </c>
      <c r="L110" s="110">
        <f t="shared" si="15"/>
        <v>205.04</v>
      </c>
      <c r="M110" s="110">
        <f t="shared" si="15"/>
        <v>218.84000000000003</v>
      </c>
      <c r="N110" s="110">
        <f t="shared" si="15"/>
        <v>211.74</v>
      </c>
      <c r="O110" s="110">
        <f t="shared" si="15"/>
        <v>261.94</v>
      </c>
      <c r="P110" s="110">
        <v>42</v>
      </c>
      <c r="Q110" s="110">
        <f t="shared" ref="Q110:AF110" si="16">SUM(Q20,Q26,Q29:Q30,Q58,Q60:Q61,Q63,Q65,Q111:Q115,Q138,Q144,Q150,Q159,Q161,Q173,Q180,Q183:Q184,Q191,Q193,Q195,Q199:Q201,Q203:Q205,Q210,Q216:Q217,Q219:Q221,Q229,Q234)</f>
        <v>242.9</v>
      </c>
      <c r="R110" s="110">
        <f>SUM(R20,R26,R29:R30,R58,R60:R61,R63,R65,R111:R115,R138,R144,R150,R159,R161,R173,R180,R183:R184,R191,R193,R195,R199:R201,R203:R205,R210,R216:R217,R219:R221,R229,R234)</f>
        <v>225.60000000000002</v>
      </c>
      <c r="S110" s="110">
        <f t="shared" si="16"/>
        <v>235.2</v>
      </c>
      <c r="T110" s="110">
        <f t="shared" si="16"/>
        <v>233.40000000000003</v>
      </c>
      <c r="U110" s="110">
        <f t="shared" si="16"/>
        <v>240.19999999999996</v>
      </c>
      <c r="V110" s="110">
        <f t="shared" si="16"/>
        <v>229</v>
      </c>
      <c r="W110" s="110">
        <f t="shared" si="16"/>
        <v>240.60000000000002</v>
      </c>
      <c r="X110" s="110">
        <f t="shared" si="16"/>
        <v>220.3</v>
      </c>
      <c r="Y110" s="110">
        <f t="shared" si="16"/>
        <v>248.3</v>
      </c>
      <c r="Z110" s="110">
        <f t="shared" si="16"/>
        <v>304.8</v>
      </c>
      <c r="AA110" s="110">
        <f t="shared" si="16"/>
        <v>164.4</v>
      </c>
      <c r="AB110" s="110">
        <f t="shared" si="16"/>
        <v>268.39999999999998</v>
      </c>
      <c r="AC110" s="110">
        <f t="shared" si="16"/>
        <v>240.39999999999998</v>
      </c>
      <c r="AD110" s="110"/>
      <c r="AE110" s="110">
        <f t="shared" si="16"/>
        <v>169.39999999999998</v>
      </c>
      <c r="AF110" s="110">
        <f t="shared" si="16"/>
        <v>117.39999999999998</v>
      </c>
      <c r="AG110" s="111"/>
      <c r="AH110" s="47">
        <f t="shared" si="8"/>
        <v>304.8</v>
      </c>
      <c r="AI110" s="48">
        <f t="shared" si="9"/>
        <v>42</v>
      </c>
    </row>
    <row r="111" spans="1:37" x14ac:dyDescent="0.25">
      <c r="A111" s="99" t="s">
        <v>119</v>
      </c>
      <c r="B111" s="112">
        <v>20.5</v>
      </c>
      <c r="C111" s="112">
        <v>18.100000000000001</v>
      </c>
      <c r="D111" s="112">
        <v>19.899999999999999</v>
      </c>
      <c r="E111" s="112">
        <v>18</v>
      </c>
      <c r="F111" s="112">
        <v>15.4</v>
      </c>
      <c r="G111" s="112">
        <v>25.8</v>
      </c>
      <c r="H111" s="112">
        <v>31</v>
      </c>
      <c r="I111" s="112">
        <v>40.5</v>
      </c>
      <c r="J111" s="112">
        <v>43</v>
      </c>
      <c r="K111" s="112">
        <v>49.6</v>
      </c>
      <c r="L111" s="112">
        <v>54.6</v>
      </c>
      <c r="M111" s="112">
        <v>49.6</v>
      </c>
      <c r="N111" s="112">
        <v>50.1</v>
      </c>
      <c r="O111" s="112">
        <v>45.5</v>
      </c>
      <c r="P111" s="112">
        <v>64.599999999999994</v>
      </c>
      <c r="Q111" s="112">
        <v>71.7</v>
      </c>
      <c r="R111" s="112">
        <v>42.5</v>
      </c>
      <c r="S111" s="112">
        <v>42.7</v>
      </c>
      <c r="T111" s="112">
        <v>47.8</v>
      </c>
      <c r="U111" s="112">
        <v>42.9</v>
      </c>
      <c r="V111" s="112">
        <v>42.6</v>
      </c>
      <c r="W111" s="112">
        <v>44</v>
      </c>
      <c r="X111" s="112">
        <v>44.1</v>
      </c>
      <c r="Y111" s="112">
        <v>51.2</v>
      </c>
      <c r="Z111" s="112">
        <v>73.2</v>
      </c>
      <c r="AA111" s="112"/>
      <c r="AB111" s="112">
        <v>95</v>
      </c>
      <c r="AC111" s="112">
        <v>92</v>
      </c>
      <c r="AD111" s="112">
        <v>90</v>
      </c>
      <c r="AE111" s="112">
        <v>70</v>
      </c>
      <c r="AF111" s="112">
        <v>70</v>
      </c>
      <c r="AG111" s="113">
        <v>75</v>
      </c>
      <c r="AH111" s="47">
        <f t="shared" si="8"/>
        <v>95</v>
      </c>
      <c r="AI111" s="48">
        <f t="shared" si="9"/>
        <v>15.4</v>
      </c>
    </row>
    <row r="112" spans="1:37" x14ac:dyDescent="0.25">
      <c r="A112" s="102" t="s">
        <v>120</v>
      </c>
      <c r="B112" s="114">
        <v>33.700000000000003</v>
      </c>
      <c r="C112" s="114">
        <v>31.4</v>
      </c>
      <c r="D112" s="114">
        <v>33.6</v>
      </c>
      <c r="E112" s="114">
        <v>29.6</v>
      </c>
      <c r="F112" s="114">
        <v>27.3</v>
      </c>
      <c r="G112" s="114">
        <v>38.9</v>
      </c>
      <c r="H112" s="114">
        <v>47.4</v>
      </c>
      <c r="I112" s="114">
        <v>59.2</v>
      </c>
      <c r="J112" s="114">
        <v>61.6</v>
      </c>
      <c r="K112" s="114">
        <v>72</v>
      </c>
      <c r="L112" s="114">
        <v>76</v>
      </c>
      <c r="M112" s="114">
        <v>65.2</v>
      </c>
      <c r="N112" s="114">
        <v>66.400000000000006</v>
      </c>
      <c r="O112" s="114">
        <v>58.5</v>
      </c>
      <c r="P112" s="114">
        <v>85.4</v>
      </c>
      <c r="Q112" s="114">
        <v>95.8</v>
      </c>
      <c r="R112" s="114">
        <v>46</v>
      </c>
      <c r="S112" s="114">
        <v>56.7</v>
      </c>
      <c r="T112" s="114">
        <v>64.900000000000006</v>
      </c>
      <c r="U112" s="114">
        <v>55.8</v>
      </c>
      <c r="V112" s="114">
        <v>54</v>
      </c>
      <c r="W112" s="114">
        <v>57</v>
      </c>
      <c r="X112" s="114">
        <v>64.7</v>
      </c>
      <c r="Y112" s="114">
        <v>73.7</v>
      </c>
      <c r="Z112" s="114">
        <v>106</v>
      </c>
      <c r="AA112" s="114"/>
      <c r="AB112" s="114">
        <v>64</v>
      </c>
      <c r="AC112" s="114">
        <v>64</v>
      </c>
      <c r="AD112" s="114">
        <v>63</v>
      </c>
      <c r="AE112" s="114">
        <v>49</v>
      </c>
      <c r="AF112" s="114">
        <v>45</v>
      </c>
      <c r="AG112" s="113">
        <v>240</v>
      </c>
      <c r="AH112" s="47">
        <f t="shared" si="8"/>
        <v>106</v>
      </c>
      <c r="AI112" s="48">
        <f t="shared" si="9"/>
        <v>27.3</v>
      </c>
    </row>
    <row r="113" spans="1:37" x14ac:dyDescent="0.25">
      <c r="A113" s="102" t="s">
        <v>121</v>
      </c>
      <c r="B113" s="114">
        <v>-112</v>
      </c>
      <c r="C113" s="114">
        <v>-122</v>
      </c>
      <c r="D113" s="114">
        <v>-140</v>
      </c>
      <c r="E113" s="114">
        <v>-137.80000000000001</v>
      </c>
      <c r="F113" s="114">
        <v>-129.6</v>
      </c>
      <c r="G113" s="114">
        <v>-132.5</v>
      </c>
      <c r="H113" s="114">
        <v>-80.2</v>
      </c>
      <c r="I113" s="114">
        <v>-60.85</v>
      </c>
      <c r="J113" s="114">
        <v>-44.5</v>
      </c>
      <c r="K113" s="114">
        <v>-35</v>
      </c>
      <c r="L113" s="114">
        <v>-32.5</v>
      </c>
      <c r="M113" s="114">
        <v>-14.1</v>
      </c>
      <c r="N113" s="114">
        <v>-28.6</v>
      </c>
      <c r="O113" s="114">
        <v>-26</v>
      </c>
      <c r="P113" s="114">
        <v>-105</v>
      </c>
      <c r="Q113" s="114">
        <v>-112</v>
      </c>
      <c r="R113" s="114">
        <f>-25.7-27.4</f>
        <v>-53.099999999999994</v>
      </c>
      <c r="S113" s="114">
        <v>-53</v>
      </c>
      <c r="T113" s="114">
        <v>-50</v>
      </c>
      <c r="U113" s="114">
        <f>-24.3-26.7</f>
        <v>-51</v>
      </c>
      <c r="V113" s="114">
        <v>-53</v>
      </c>
      <c r="W113" s="114">
        <v>-46</v>
      </c>
      <c r="X113" s="114">
        <f>-43.6-47.2</f>
        <v>-90.800000000000011</v>
      </c>
      <c r="Y113" s="114">
        <v>-82</v>
      </c>
      <c r="Z113" s="114">
        <v>-140</v>
      </c>
      <c r="AA113" s="114"/>
      <c r="AB113" s="114">
        <v>-150</v>
      </c>
      <c r="AC113" s="114">
        <v>-160</v>
      </c>
      <c r="AD113" s="114">
        <v>-165</v>
      </c>
      <c r="AE113" s="114">
        <v>-167</v>
      </c>
      <c r="AF113" s="114">
        <v>-170</v>
      </c>
      <c r="AG113" s="113">
        <v>240</v>
      </c>
      <c r="AH113" s="47">
        <f t="shared" si="8"/>
        <v>-14.1</v>
      </c>
      <c r="AI113" s="48">
        <f t="shared" si="9"/>
        <v>-170</v>
      </c>
    </row>
    <row r="114" spans="1:37" x14ac:dyDescent="0.25">
      <c r="A114" s="102" t="s">
        <v>122</v>
      </c>
      <c r="B114" s="114">
        <v>-8.6</v>
      </c>
      <c r="C114" s="114">
        <v>-13.6</v>
      </c>
      <c r="D114" s="114">
        <v>-11.2</v>
      </c>
      <c r="E114" s="114">
        <v>-10.5</v>
      </c>
      <c r="F114" s="114">
        <v>-12.5</v>
      </c>
      <c r="G114" s="114">
        <v>-8.5</v>
      </c>
      <c r="H114" s="114">
        <v>-2.2000000000000002</v>
      </c>
      <c r="I114" s="114">
        <v>2</v>
      </c>
      <c r="J114" s="114">
        <v>6.2</v>
      </c>
      <c r="K114" s="114">
        <v>10</v>
      </c>
      <c r="L114" s="114">
        <v>10.6</v>
      </c>
      <c r="M114" s="114">
        <v>13.5</v>
      </c>
      <c r="N114" s="114">
        <v>11.9</v>
      </c>
      <c r="O114" s="114">
        <v>12.1</v>
      </c>
      <c r="P114" s="114">
        <v>6.2</v>
      </c>
      <c r="Q114" s="114">
        <v>3.9</v>
      </c>
      <c r="R114" s="114">
        <v>9.4</v>
      </c>
      <c r="S114" s="114">
        <v>9</v>
      </c>
      <c r="T114" s="114">
        <v>10.1</v>
      </c>
      <c r="U114" s="114">
        <v>12.1</v>
      </c>
      <c r="V114" s="114">
        <v>11</v>
      </c>
      <c r="W114" s="114">
        <v>13</v>
      </c>
      <c r="X114" s="114">
        <v>8.1</v>
      </c>
      <c r="Y114" s="114">
        <v>9.1999999999999993</v>
      </c>
      <c r="Z114" s="114">
        <v>24.1</v>
      </c>
      <c r="AA114" s="114"/>
      <c r="AB114" s="114">
        <v>21</v>
      </c>
      <c r="AC114" s="114">
        <v>10</v>
      </c>
      <c r="AD114" s="114">
        <v>-7</v>
      </c>
      <c r="AE114" s="114">
        <v>-13</v>
      </c>
      <c r="AF114" s="114">
        <v>-15</v>
      </c>
      <c r="AG114" s="113">
        <v>60</v>
      </c>
      <c r="AH114" s="47">
        <f t="shared" si="8"/>
        <v>24.1</v>
      </c>
      <c r="AI114" s="48">
        <f t="shared" si="9"/>
        <v>-15</v>
      </c>
    </row>
    <row r="115" spans="1:37" x14ac:dyDescent="0.25">
      <c r="A115" s="115" t="s">
        <v>123</v>
      </c>
      <c r="B115" s="116">
        <v>25.5</v>
      </c>
      <c r="C115" s="116">
        <v>26.3</v>
      </c>
      <c r="D115" s="116">
        <v>27.8</v>
      </c>
      <c r="E115" s="116">
        <v>28.1</v>
      </c>
      <c r="F115" s="116">
        <v>25</v>
      </c>
      <c r="G115" s="116">
        <v>24.5</v>
      </c>
      <c r="H115" s="116">
        <v>23.9</v>
      </c>
      <c r="I115" s="116">
        <v>23.2</v>
      </c>
      <c r="J115" s="116">
        <v>22.8</v>
      </c>
      <c r="K115" s="116">
        <v>21</v>
      </c>
      <c r="L115" s="116">
        <v>22.6</v>
      </c>
      <c r="M115" s="116">
        <v>24.4</v>
      </c>
      <c r="N115" s="116">
        <v>24.7</v>
      </c>
      <c r="O115" s="116">
        <v>26.2</v>
      </c>
      <c r="P115" s="116">
        <v>25.3</v>
      </c>
      <c r="Q115" s="116">
        <v>25</v>
      </c>
      <c r="R115" s="116">
        <v>25</v>
      </c>
      <c r="S115" s="116">
        <v>24</v>
      </c>
      <c r="T115" s="116">
        <v>2.1</v>
      </c>
      <c r="U115" s="116">
        <v>31.7</v>
      </c>
      <c r="V115" s="116">
        <v>32</v>
      </c>
      <c r="W115" s="116">
        <v>31.3</v>
      </c>
      <c r="X115" s="116">
        <v>43.4</v>
      </c>
      <c r="Y115" s="116">
        <v>46.8</v>
      </c>
      <c r="Z115" s="116">
        <v>77.099999999999994</v>
      </c>
      <c r="AA115" s="116"/>
      <c r="AB115" s="116">
        <v>74</v>
      </c>
      <c r="AC115" s="116">
        <v>70</v>
      </c>
      <c r="AD115" s="116">
        <v>66</v>
      </c>
      <c r="AE115" s="116">
        <v>66</v>
      </c>
      <c r="AF115" s="116">
        <v>23</v>
      </c>
      <c r="AG115" s="117">
        <v>120</v>
      </c>
      <c r="AH115" s="47">
        <f t="shared" si="8"/>
        <v>77.099999999999994</v>
      </c>
      <c r="AI115" s="48">
        <f t="shared" si="9"/>
        <v>2.1</v>
      </c>
    </row>
    <row r="116" spans="1:37" x14ac:dyDescent="0.25">
      <c r="A116" s="115" t="s">
        <v>124</v>
      </c>
      <c r="B116" s="116">
        <v>56.8</v>
      </c>
      <c r="C116" s="116">
        <v>50.3</v>
      </c>
      <c r="D116" s="116">
        <v>43.2</v>
      </c>
      <c r="E116" s="116">
        <v>33.200000000000003</v>
      </c>
      <c r="F116" s="116">
        <v>30.7</v>
      </c>
      <c r="G116" s="116">
        <v>18.399999999999999</v>
      </c>
      <c r="H116" s="116">
        <v>36.119999999999997</v>
      </c>
      <c r="I116" s="116">
        <v>41.6</v>
      </c>
      <c r="J116" s="116">
        <v>49</v>
      </c>
      <c r="K116" s="116">
        <v>40</v>
      </c>
      <c r="L116" s="116">
        <v>61.2</v>
      </c>
      <c r="M116" s="116">
        <v>77.2</v>
      </c>
      <c r="N116" s="116">
        <v>62.6</v>
      </c>
      <c r="O116" s="116">
        <v>69.3</v>
      </c>
      <c r="P116" s="116">
        <v>82.1</v>
      </c>
      <c r="Q116" s="116">
        <v>83.5</v>
      </c>
      <c r="R116" s="116">
        <v>82.9</v>
      </c>
      <c r="S116" s="116">
        <v>81</v>
      </c>
      <c r="T116" s="116">
        <v>85</v>
      </c>
      <c r="U116" s="116">
        <v>80.2</v>
      </c>
      <c r="V116" s="116">
        <v>54</v>
      </c>
      <c r="W116" s="116">
        <v>60</v>
      </c>
      <c r="X116" s="116">
        <v>21.3</v>
      </c>
      <c r="Y116" s="116">
        <v>25</v>
      </c>
      <c r="Z116" s="116">
        <v>41</v>
      </c>
      <c r="AA116" s="116"/>
      <c r="AB116" s="116">
        <v>41</v>
      </c>
      <c r="AC116" s="116">
        <v>40</v>
      </c>
      <c r="AD116" s="116">
        <v>40</v>
      </c>
      <c r="AE116" s="116">
        <v>41</v>
      </c>
      <c r="AF116" s="116">
        <v>47</v>
      </c>
      <c r="AG116" s="117"/>
      <c r="AH116" s="47">
        <f t="shared" si="8"/>
        <v>85</v>
      </c>
      <c r="AI116" s="48">
        <f t="shared" si="9"/>
        <v>18.399999999999999</v>
      </c>
    </row>
    <row r="117" spans="1:37" x14ac:dyDescent="0.25">
      <c r="A117" s="115" t="s">
        <v>125</v>
      </c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>
        <v>-15.4</v>
      </c>
      <c r="T117" s="116">
        <v>-21.7</v>
      </c>
      <c r="U117" s="116">
        <v>-22.2</v>
      </c>
      <c r="V117" s="116"/>
      <c r="W117" s="116"/>
      <c r="X117" s="116">
        <v>-17.600000000000001</v>
      </c>
      <c r="Y117" s="116"/>
      <c r="Z117" s="116">
        <v>2.4</v>
      </c>
      <c r="AA117" s="116"/>
      <c r="AB117" s="116">
        <v>0</v>
      </c>
      <c r="AC117" s="116">
        <v>0</v>
      </c>
      <c r="AD117" s="116">
        <v>2</v>
      </c>
      <c r="AE117" s="116">
        <v>5</v>
      </c>
      <c r="AF117" s="116">
        <v>7</v>
      </c>
      <c r="AG117" s="118"/>
      <c r="AH117" s="47">
        <f t="shared" si="8"/>
        <v>7</v>
      </c>
      <c r="AI117" s="48">
        <f t="shared" si="9"/>
        <v>-22.2</v>
      </c>
    </row>
    <row r="118" spans="1:37" x14ac:dyDescent="0.25">
      <c r="A118" s="119" t="s">
        <v>126</v>
      </c>
      <c r="B118" s="105">
        <v>25.1</v>
      </c>
      <c r="C118" s="105">
        <v>28.9</v>
      </c>
      <c r="D118" s="105">
        <v>30.4</v>
      </c>
      <c r="E118" s="105">
        <v>25.5</v>
      </c>
      <c r="F118" s="105">
        <v>25.2</v>
      </c>
      <c r="G118" s="105">
        <v>25.6</v>
      </c>
      <c r="H118" s="105">
        <v>28.9</v>
      </c>
      <c r="I118" s="105">
        <v>38.700000000000003</v>
      </c>
      <c r="J118" s="105">
        <v>37.4</v>
      </c>
      <c r="K118" s="105">
        <v>20</v>
      </c>
      <c r="L118" s="105">
        <v>20.5</v>
      </c>
      <c r="M118" s="105">
        <v>7.3</v>
      </c>
      <c r="N118" s="105">
        <v>22.9</v>
      </c>
      <c r="O118" s="105">
        <v>19.399999999999999</v>
      </c>
      <c r="P118" s="105">
        <v>14.6</v>
      </c>
      <c r="Q118" s="105">
        <v>15.1</v>
      </c>
      <c r="R118" s="105">
        <v>1.2</v>
      </c>
      <c r="S118" s="105">
        <v>-13</v>
      </c>
      <c r="T118" s="105">
        <v>-24</v>
      </c>
      <c r="U118" s="105">
        <v>-4.2</v>
      </c>
      <c r="V118" s="105">
        <v>14</v>
      </c>
      <c r="W118" s="105">
        <v>4</v>
      </c>
      <c r="X118" s="105">
        <v>14.8</v>
      </c>
      <c r="Y118" s="105">
        <v>-3</v>
      </c>
      <c r="Z118" s="105">
        <v>-10</v>
      </c>
      <c r="AA118" s="105"/>
      <c r="AB118" s="105">
        <v>3</v>
      </c>
      <c r="AC118" s="105">
        <v>5</v>
      </c>
      <c r="AD118" s="105">
        <v>5.5</v>
      </c>
      <c r="AE118" s="105">
        <v>0</v>
      </c>
      <c r="AF118" s="105">
        <v>2</v>
      </c>
      <c r="AG118" s="118"/>
      <c r="AH118" s="47">
        <f t="shared" si="8"/>
        <v>38.700000000000003</v>
      </c>
      <c r="AI118" s="48">
        <f t="shared" si="9"/>
        <v>-24</v>
      </c>
    </row>
    <row r="119" spans="1:37" x14ac:dyDescent="0.25">
      <c r="A119" s="120" t="s">
        <v>127</v>
      </c>
      <c r="B119" s="105">
        <v>77.2</v>
      </c>
      <c r="C119" s="105">
        <v>80.599999999999994</v>
      </c>
      <c r="D119" s="105">
        <v>93</v>
      </c>
      <c r="E119" s="105">
        <v>93</v>
      </c>
      <c r="F119" s="105">
        <v>81.599999999999994</v>
      </c>
      <c r="G119" s="105">
        <v>95</v>
      </c>
      <c r="H119" s="105">
        <v>68.5</v>
      </c>
      <c r="I119" s="105">
        <v>58.7</v>
      </c>
      <c r="J119" s="105">
        <v>52.1</v>
      </c>
      <c r="K119" s="105">
        <v>52</v>
      </c>
      <c r="L119" s="105">
        <v>42.6</v>
      </c>
      <c r="M119" s="105">
        <v>29.8</v>
      </c>
      <c r="N119" s="105">
        <v>70.7</v>
      </c>
      <c r="O119" s="105">
        <v>84.1</v>
      </c>
      <c r="P119" s="105">
        <v>76.400000000000006</v>
      </c>
      <c r="Q119" s="105">
        <v>79.8</v>
      </c>
      <c r="R119" s="105">
        <v>88.9</v>
      </c>
      <c r="S119" s="105">
        <v>85</v>
      </c>
      <c r="T119" s="105">
        <v>86</v>
      </c>
      <c r="U119" s="105">
        <v>79.900000000000006</v>
      </c>
      <c r="V119" s="105">
        <v>79</v>
      </c>
      <c r="W119" s="105">
        <v>81</v>
      </c>
      <c r="X119" s="105">
        <v>72.400000000000006</v>
      </c>
      <c r="Y119" s="105">
        <v>68.400000000000006</v>
      </c>
      <c r="Z119" s="105">
        <v>66</v>
      </c>
      <c r="AA119" s="105"/>
      <c r="AB119" s="105">
        <v>80</v>
      </c>
      <c r="AC119" s="105">
        <v>80</v>
      </c>
      <c r="AD119" s="105">
        <v>80</v>
      </c>
      <c r="AE119" s="105">
        <v>80</v>
      </c>
      <c r="AF119" s="105">
        <v>85</v>
      </c>
      <c r="AG119" s="118"/>
      <c r="AH119" s="47">
        <f t="shared" si="8"/>
        <v>95</v>
      </c>
      <c r="AI119" s="48">
        <f t="shared" si="9"/>
        <v>29.8</v>
      </c>
    </row>
    <row r="120" spans="1:37" ht="15.75" thickBot="1" x14ac:dyDescent="0.3">
      <c r="A120" s="119" t="s">
        <v>128</v>
      </c>
      <c r="B120" s="105">
        <v>51.2</v>
      </c>
      <c r="C120" s="105">
        <v>41.4</v>
      </c>
      <c r="D120" s="105">
        <v>34.700000000000003</v>
      </c>
      <c r="E120" s="105">
        <v>29.3</v>
      </c>
      <c r="F120" s="105">
        <v>24.4</v>
      </c>
      <c r="G120" s="105">
        <v>8.4</v>
      </c>
      <c r="H120" s="105">
        <v>2.5</v>
      </c>
      <c r="I120" s="105">
        <v>-5.5</v>
      </c>
      <c r="J120" s="105">
        <v>-2.1</v>
      </c>
      <c r="K120" s="105">
        <v>5</v>
      </c>
      <c r="L120" s="105">
        <v>12.1</v>
      </c>
      <c r="M120" s="105">
        <v>32.6</v>
      </c>
      <c r="N120" s="105">
        <v>24.7</v>
      </c>
      <c r="O120" s="105">
        <v>37</v>
      </c>
      <c r="P120" s="105">
        <v>53.1</v>
      </c>
      <c r="Q120" s="105">
        <v>51.8</v>
      </c>
      <c r="R120" s="105">
        <v>64.8</v>
      </c>
      <c r="S120" s="105">
        <v>69</v>
      </c>
      <c r="T120" s="105">
        <v>77</v>
      </c>
      <c r="U120" s="105">
        <v>65.7</v>
      </c>
      <c r="V120" s="105">
        <v>40</v>
      </c>
      <c r="W120" s="105">
        <v>49</v>
      </c>
      <c r="X120" s="105">
        <v>38</v>
      </c>
      <c r="Y120" s="105">
        <v>54</v>
      </c>
      <c r="Z120" s="105">
        <v>83</v>
      </c>
      <c r="AA120" s="105"/>
      <c r="AB120" s="105">
        <v>81</v>
      </c>
      <c r="AC120" s="105">
        <v>60</v>
      </c>
      <c r="AD120" s="105">
        <v>55</v>
      </c>
      <c r="AE120" s="105">
        <v>61</v>
      </c>
      <c r="AF120" s="105">
        <v>59</v>
      </c>
      <c r="AG120" s="118"/>
      <c r="AH120" s="47">
        <f t="shared" si="8"/>
        <v>83</v>
      </c>
      <c r="AI120" s="48">
        <f t="shared" si="9"/>
        <v>-5.5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7">SUM(B122:B226)</f>
        <v>0</v>
      </c>
      <c r="C227" s="136">
        <f t="shared" si="17"/>
        <v>0</v>
      </c>
      <c r="D227" s="136">
        <f t="shared" si="17"/>
        <v>0</v>
      </c>
      <c r="E227" s="136">
        <f t="shared" si="17"/>
        <v>0</v>
      </c>
      <c r="F227" s="136">
        <f t="shared" si="17"/>
        <v>0</v>
      </c>
      <c r="G227" s="136">
        <f t="shared" si="17"/>
        <v>0</v>
      </c>
      <c r="H227" s="136">
        <f t="shared" si="17"/>
        <v>0</v>
      </c>
      <c r="I227" s="136">
        <f t="shared" si="17"/>
        <v>0</v>
      </c>
      <c r="J227" s="136">
        <f t="shared" si="17"/>
        <v>0</v>
      </c>
      <c r="K227" s="136">
        <f t="shared" si="17"/>
        <v>0</v>
      </c>
      <c r="L227" s="136">
        <f t="shared" si="17"/>
        <v>0</v>
      </c>
      <c r="M227" s="136">
        <f t="shared" si="17"/>
        <v>0</v>
      </c>
      <c r="N227" s="136">
        <f t="shared" si="17"/>
        <v>0</v>
      </c>
      <c r="O227" s="136">
        <f t="shared" si="17"/>
        <v>0</v>
      </c>
      <c r="P227" s="136">
        <f t="shared" si="17"/>
        <v>0</v>
      </c>
      <c r="Q227" s="136">
        <f t="shared" si="17"/>
        <v>0</v>
      </c>
      <c r="R227" s="136">
        <f t="shared" si="17"/>
        <v>0</v>
      </c>
      <c r="S227" s="136">
        <f t="shared" si="17"/>
        <v>0</v>
      </c>
      <c r="T227" s="136">
        <f t="shared" si="17"/>
        <v>0</v>
      </c>
      <c r="U227" s="136">
        <f t="shared" si="17"/>
        <v>0</v>
      </c>
      <c r="V227" s="136">
        <f t="shared" si="17"/>
        <v>0</v>
      </c>
      <c r="W227" s="136">
        <f t="shared" si="17"/>
        <v>0</v>
      </c>
      <c r="X227" s="136">
        <f t="shared" si="17"/>
        <v>0</v>
      </c>
      <c r="Y227" s="136">
        <f t="shared" si="17"/>
        <v>0</v>
      </c>
      <c r="Z227" s="136">
        <f t="shared" si="17"/>
        <v>0</v>
      </c>
      <c r="AA227" s="136">
        <f t="shared" si="17"/>
        <v>0</v>
      </c>
      <c r="AB227" s="136">
        <f t="shared" si="17"/>
        <v>0</v>
      </c>
      <c r="AC227" s="136">
        <f t="shared" si="17"/>
        <v>0</v>
      </c>
      <c r="AD227" s="136">
        <f t="shared" si="17"/>
        <v>0</v>
      </c>
      <c r="AE227" s="136">
        <f t="shared" si="17"/>
        <v>0</v>
      </c>
      <c r="AF227" s="137">
        <f t="shared" si="17"/>
        <v>0</v>
      </c>
      <c r="AG227" s="138">
        <f t="shared" si="1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8">AF229</f>
        <v>0</v>
      </c>
      <c r="C229" s="140">
        <v>0.3</v>
      </c>
      <c r="D229" s="140">
        <f t="shared" ref="D229:P234" si="19">C229</f>
        <v>0.3</v>
      </c>
      <c r="E229" s="140">
        <f t="shared" si="19"/>
        <v>0.3</v>
      </c>
      <c r="F229" s="140">
        <f t="shared" si="19"/>
        <v>0.3</v>
      </c>
      <c r="G229" s="140">
        <f t="shared" si="19"/>
        <v>0.3</v>
      </c>
      <c r="H229" s="140">
        <f t="shared" si="19"/>
        <v>0.3</v>
      </c>
      <c r="I229" s="140">
        <f t="shared" si="19"/>
        <v>0.3</v>
      </c>
      <c r="J229" s="140">
        <f t="shared" si="19"/>
        <v>0.3</v>
      </c>
      <c r="K229" s="140">
        <f t="shared" si="19"/>
        <v>0.3</v>
      </c>
      <c r="L229" s="140">
        <f t="shared" si="19"/>
        <v>0.3</v>
      </c>
      <c r="M229" s="140">
        <f t="shared" si="19"/>
        <v>0.3</v>
      </c>
      <c r="N229" s="140">
        <f t="shared" si="19"/>
        <v>0.3</v>
      </c>
      <c r="O229" s="140">
        <f t="shared" si="19"/>
        <v>0.3</v>
      </c>
      <c r="P229" s="140">
        <f t="shared" si="1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8"/>
        <v>0</v>
      </c>
      <c r="C230" s="128">
        <v>0.4</v>
      </c>
      <c r="D230" s="128">
        <f t="shared" si="19"/>
        <v>0.4</v>
      </c>
      <c r="E230" s="128">
        <f t="shared" si="19"/>
        <v>0.4</v>
      </c>
      <c r="F230" s="128">
        <f t="shared" si="19"/>
        <v>0.4</v>
      </c>
      <c r="G230" s="128">
        <f t="shared" si="19"/>
        <v>0.4</v>
      </c>
      <c r="H230" s="128">
        <f t="shared" si="19"/>
        <v>0.4</v>
      </c>
      <c r="I230" s="128">
        <f t="shared" si="19"/>
        <v>0.4</v>
      </c>
      <c r="J230" s="128">
        <f t="shared" si="19"/>
        <v>0.4</v>
      </c>
      <c r="K230" s="128">
        <f t="shared" si="19"/>
        <v>0.4</v>
      </c>
      <c r="L230" s="128">
        <f t="shared" si="19"/>
        <v>0.4</v>
      </c>
      <c r="M230" s="128">
        <f t="shared" si="19"/>
        <v>0.4</v>
      </c>
      <c r="N230" s="128">
        <f t="shared" si="19"/>
        <v>0.4</v>
      </c>
      <c r="O230" s="128">
        <f t="shared" si="19"/>
        <v>0.4</v>
      </c>
      <c r="P230" s="128">
        <f t="shared" si="1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8"/>
        <v>0</v>
      </c>
      <c r="C231" s="128">
        <v>1.5</v>
      </c>
      <c r="D231" s="128">
        <f t="shared" si="19"/>
        <v>1.5</v>
      </c>
      <c r="E231" s="128">
        <f t="shared" si="19"/>
        <v>1.5</v>
      </c>
      <c r="F231" s="128">
        <f t="shared" si="19"/>
        <v>1.5</v>
      </c>
      <c r="G231" s="128">
        <f t="shared" si="19"/>
        <v>1.5</v>
      </c>
      <c r="H231" s="128">
        <f t="shared" si="1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19"/>
        <v>123.21900000000009</v>
      </c>
      <c r="K231" s="128">
        <f t="shared" ca="1" si="19"/>
        <v>123.21900000000009</v>
      </c>
      <c r="L231" s="128">
        <f t="shared" ca="1" si="19"/>
        <v>123.21900000000009</v>
      </c>
      <c r="M231" s="128">
        <f t="shared" ca="1" si="19"/>
        <v>119.19900000000008</v>
      </c>
      <c r="N231" s="128">
        <f t="shared" ca="1" si="19"/>
        <v>119.19900000000008</v>
      </c>
      <c r="O231" s="128">
        <f t="shared" ca="1" si="19"/>
        <v>119.19900000000008</v>
      </c>
      <c r="P231" s="128">
        <f t="shared" ca="1" si="1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8"/>
        <v>0</v>
      </c>
      <c r="C232" s="128">
        <v>0.3</v>
      </c>
      <c r="D232" s="128">
        <f t="shared" si="19"/>
        <v>0.3</v>
      </c>
      <c r="E232" s="128">
        <f t="shared" si="19"/>
        <v>0.3</v>
      </c>
      <c r="F232" s="128">
        <f t="shared" si="19"/>
        <v>0.3</v>
      </c>
      <c r="G232" s="128">
        <f t="shared" si="19"/>
        <v>0.3</v>
      </c>
      <c r="H232" s="128">
        <f t="shared" si="19"/>
        <v>0.3</v>
      </c>
      <c r="I232" s="128">
        <f t="shared" si="19"/>
        <v>0.3</v>
      </c>
      <c r="J232" s="128">
        <f t="shared" si="19"/>
        <v>0.3</v>
      </c>
      <c r="K232" s="128">
        <f t="shared" si="19"/>
        <v>0.3</v>
      </c>
      <c r="L232" s="128">
        <f t="shared" si="19"/>
        <v>0.3</v>
      </c>
      <c r="M232" s="128">
        <f t="shared" si="19"/>
        <v>0.3</v>
      </c>
      <c r="N232" s="128">
        <f t="shared" si="19"/>
        <v>0.3</v>
      </c>
      <c r="O232" s="128">
        <f t="shared" si="19"/>
        <v>0.3</v>
      </c>
      <c r="P232" s="128">
        <f t="shared" si="1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8"/>
        <v>0</v>
      </c>
      <c r="C233" s="128">
        <v>0.4</v>
      </c>
      <c r="D233" s="128">
        <f t="shared" si="19"/>
        <v>0.4</v>
      </c>
      <c r="E233" s="128">
        <f t="shared" si="19"/>
        <v>0.4</v>
      </c>
      <c r="F233" s="128">
        <f t="shared" si="19"/>
        <v>0.4</v>
      </c>
      <c r="G233" s="128">
        <f t="shared" si="19"/>
        <v>0.4</v>
      </c>
      <c r="H233" s="128">
        <f t="shared" si="19"/>
        <v>0.4</v>
      </c>
      <c r="I233" s="128">
        <f t="shared" si="19"/>
        <v>0.4</v>
      </c>
      <c r="J233" s="128">
        <f t="shared" si="19"/>
        <v>0.4</v>
      </c>
      <c r="K233" s="128">
        <f t="shared" si="19"/>
        <v>0.4</v>
      </c>
      <c r="L233" s="128">
        <f t="shared" si="19"/>
        <v>0.4</v>
      </c>
      <c r="M233" s="128">
        <f t="shared" si="19"/>
        <v>0.4</v>
      </c>
      <c r="N233" s="128">
        <f t="shared" si="19"/>
        <v>0.4</v>
      </c>
      <c r="O233" s="128">
        <f t="shared" si="19"/>
        <v>0.4</v>
      </c>
      <c r="P233" s="128">
        <f t="shared" si="1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8"/>
        <v>0</v>
      </c>
      <c r="C234" s="132">
        <v>0.64</v>
      </c>
      <c r="D234" s="132">
        <f t="shared" si="19"/>
        <v>0.64</v>
      </c>
      <c r="E234" s="132">
        <f t="shared" si="19"/>
        <v>0.64</v>
      </c>
      <c r="F234" s="132">
        <f t="shared" si="19"/>
        <v>0.64</v>
      </c>
      <c r="G234" s="132">
        <f t="shared" si="19"/>
        <v>0.64</v>
      </c>
      <c r="H234" s="132">
        <f t="shared" si="19"/>
        <v>0.64</v>
      </c>
      <c r="I234" s="132">
        <f t="shared" si="19"/>
        <v>0.64</v>
      </c>
      <c r="J234" s="132">
        <f t="shared" si="19"/>
        <v>0.64</v>
      </c>
      <c r="K234" s="132">
        <f t="shared" si="19"/>
        <v>0.64</v>
      </c>
      <c r="L234" s="132">
        <f t="shared" si="19"/>
        <v>0.64</v>
      </c>
      <c r="M234" s="132">
        <f t="shared" si="19"/>
        <v>0.64</v>
      </c>
      <c r="N234" s="132">
        <f t="shared" si="19"/>
        <v>0.64</v>
      </c>
      <c r="O234" s="132">
        <f t="shared" si="19"/>
        <v>0.64</v>
      </c>
      <c r="P234" s="132">
        <f t="shared" si="1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0">SUM(B229:B234)</f>
        <v>0</v>
      </c>
      <c r="C235" s="136">
        <f t="shared" si="20"/>
        <v>3.54</v>
      </c>
      <c r="D235" s="136">
        <f t="shared" si="20"/>
        <v>3.54</v>
      </c>
      <c r="E235" s="136">
        <f t="shared" si="20"/>
        <v>3.54</v>
      </c>
      <c r="F235" s="136">
        <f t="shared" si="20"/>
        <v>3.54</v>
      </c>
      <c r="G235" s="136">
        <f t="shared" si="20"/>
        <v>3.54</v>
      </c>
      <c r="H235" s="136">
        <f t="shared" si="20"/>
        <v>3.54</v>
      </c>
      <c r="I235" s="136">
        <f t="shared" ca="1" si="20"/>
        <v>121.23900000000009</v>
      </c>
      <c r="J235" s="136">
        <f t="shared" ca="1" si="20"/>
        <v>121.23900000000009</v>
      </c>
      <c r="K235" s="136">
        <f t="shared" ca="1" si="20"/>
        <v>121.23900000000009</v>
      </c>
      <c r="L235" s="136">
        <f t="shared" ca="1" si="20"/>
        <v>125.2590000000001</v>
      </c>
      <c r="M235" s="136">
        <f t="shared" ca="1" si="20"/>
        <v>121.23900000000009</v>
      </c>
      <c r="N235" s="136">
        <f t="shared" ca="1" si="20"/>
        <v>121.23900000000009</v>
      </c>
      <c r="O235" s="136">
        <f t="shared" ca="1" si="20"/>
        <v>121.23900000000009</v>
      </c>
      <c r="P235" s="136">
        <f t="shared" ca="1" si="20"/>
        <v>121.23900000000009</v>
      </c>
      <c r="Q235" s="136">
        <f t="shared" si="20"/>
        <v>0</v>
      </c>
      <c r="R235" s="136">
        <f t="shared" si="20"/>
        <v>0</v>
      </c>
      <c r="S235" s="136">
        <f t="shared" si="20"/>
        <v>0</v>
      </c>
      <c r="T235" s="136">
        <f t="shared" si="20"/>
        <v>0</v>
      </c>
      <c r="U235" s="136">
        <f t="shared" si="20"/>
        <v>0</v>
      </c>
      <c r="V235" s="136">
        <f t="shared" si="20"/>
        <v>0</v>
      </c>
      <c r="W235" s="136">
        <f t="shared" si="20"/>
        <v>0</v>
      </c>
      <c r="X235" s="136">
        <f t="shared" si="20"/>
        <v>0</v>
      </c>
      <c r="Y235" s="136">
        <f t="shared" si="20"/>
        <v>0</v>
      </c>
      <c r="Z235" s="136">
        <f t="shared" si="20"/>
        <v>0</v>
      </c>
      <c r="AA235" s="136">
        <f t="shared" si="20"/>
        <v>0</v>
      </c>
      <c r="AB235" s="136">
        <f t="shared" si="20"/>
        <v>0</v>
      </c>
      <c r="AC235" s="136">
        <f t="shared" si="20"/>
        <v>0</v>
      </c>
      <c r="AD235" s="136">
        <f t="shared" si="20"/>
        <v>0</v>
      </c>
      <c r="AE235" s="136">
        <f t="shared" si="20"/>
        <v>0</v>
      </c>
      <c r="AF235" s="136">
        <f t="shared" si="20"/>
        <v>0</v>
      </c>
      <c r="AG235" s="145">
        <f t="shared" si="2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1910.84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2080/05/0)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2080/05/0)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1">B91</f>
        <v>1972.04</v>
      </c>
      <c r="U249" s="170">
        <f t="shared" si="21"/>
        <v>1869.44</v>
      </c>
      <c r="V249" s="170">
        <f t="shared" si="21"/>
        <v>1850.44</v>
      </c>
      <c r="W249" s="170">
        <f t="shared" si="21"/>
        <v>1870.84</v>
      </c>
      <c r="X249" s="170">
        <f t="shared" si="21"/>
        <v>1860.34</v>
      </c>
      <c r="Y249" s="170">
        <f t="shared" si="21"/>
        <v>1877.34</v>
      </c>
      <c r="Z249" s="170">
        <f t="shared" si="21"/>
        <v>1866.64</v>
      </c>
      <c r="AA249" s="170">
        <f t="shared" si="21"/>
        <v>1865.8400000000001</v>
      </c>
      <c r="AB249" s="170">
        <f t="shared" si="21"/>
        <v>1860.14</v>
      </c>
      <c r="AC249" s="170">
        <f t="shared" si="21"/>
        <v>1907.14</v>
      </c>
      <c r="AD249" s="170">
        <f t="shared" si="21"/>
        <v>1908.04</v>
      </c>
      <c r="AE249" s="170">
        <f t="shared" si="21"/>
        <v>1910.84</v>
      </c>
      <c r="AF249" s="170">
        <f t="shared" si="21"/>
        <v>1843.34</v>
      </c>
      <c r="AG249" s="170">
        <f t="shared" si="21"/>
        <v>1905.3400000000001</v>
      </c>
      <c r="AH249" s="170">
        <f t="shared" si="21"/>
        <v>1856.44</v>
      </c>
      <c r="AI249" s="170">
        <f t="shared" si="21"/>
        <v>1878.3400000000001</v>
      </c>
      <c r="AJ249" s="170">
        <f t="shared" si="21"/>
        <v>1879.34</v>
      </c>
      <c r="AK249" s="170">
        <f t="shared" si="21"/>
        <v>1878.1399999999999</v>
      </c>
      <c r="AL249" s="170">
        <f t="shared" si="21"/>
        <v>1826.44</v>
      </c>
      <c r="AM249" s="170">
        <f t="shared" si="21"/>
        <v>1832.8400000000001</v>
      </c>
      <c r="AN249" s="170">
        <f t="shared" si="21"/>
        <v>1842.94</v>
      </c>
      <c r="AO249" s="170">
        <f t="shared" si="21"/>
        <v>1841.8400000000001</v>
      </c>
      <c r="AP249" s="170">
        <f t="shared" si="21"/>
        <v>1965.5400000000002</v>
      </c>
      <c r="AQ249" s="170">
        <f t="shared" si="21"/>
        <v>1964.1400000000003</v>
      </c>
      <c r="AR249" s="170">
        <f t="shared" si="21"/>
        <v>2072.04</v>
      </c>
      <c r="AS249" s="170">
        <f t="shared" si="21"/>
        <v>2101.64</v>
      </c>
      <c r="AT249" s="170">
        <f t="shared" si="21"/>
        <v>2039.44</v>
      </c>
      <c r="AU249" s="170">
        <f t="shared" si="21"/>
        <v>2065.14</v>
      </c>
      <c r="AV249" s="170">
        <f t="shared" si="21"/>
        <v>2033.1399999999999</v>
      </c>
      <c r="AW249" s="170">
        <f t="shared" si="21"/>
        <v>2011.1399999999999</v>
      </c>
      <c r="AX249" s="170">
        <f t="shared" si="21"/>
        <v>2005.1399999999999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2">C234</f>
        <v>0.64</v>
      </c>
      <c r="C270" s="173">
        <f t="shared" si="22"/>
        <v>0.64</v>
      </c>
      <c r="D270" s="173">
        <f t="shared" si="22"/>
        <v>0.64</v>
      </c>
      <c r="E270" s="173">
        <f t="shared" si="22"/>
        <v>0.64</v>
      </c>
      <c r="F270" s="173">
        <f t="shared" si="22"/>
        <v>0.64</v>
      </c>
      <c r="G270" s="173">
        <f t="shared" si="22"/>
        <v>0.64</v>
      </c>
      <c r="H270" s="173">
        <f t="shared" si="22"/>
        <v>0.64</v>
      </c>
      <c r="I270" s="173">
        <f t="shared" si="22"/>
        <v>0.64</v>
      </c>
      <c r="J270" s="173">
        <f t="shared" si="22"/>
        <v>0.64</v>
      </c>
      <c r="K270" s="173">
        <f t="shared" si="22"/>
        <v>0.64</v>
      </c>
      <c r="L270" s="173">
        <f t="shared" si="22"/>
        <v>0.64</v>
      </c>
      <c r="M270" s="173">
        <f t="shared" si="22"/>
        <v>0.64</v>
      </c>
      <c r="N270" s="173">
        <f t="shared" si="22"/>
        <v>0.64</v>
      </c>
      <c r="O270" s="173">
        <f t="shared" si="22"/>
        <v>0.64</v>
      </c>
      <c r="P270" s="173">
        <f t="shared" si="22"/>
        <v>0</v>
      </c>
      <c r="Q270" s="173">
        <f t="shared" si="22"/>
        <v>0</v>
      </c>
      <c r="R270" s="173">
        <f t="shared" si="22"/>
        <v>0</v>
      </c>
      <c r="S270" s="173">
        <f t="shared" si="22"/>
        <v>0</v>
      </c>
      <c r="T270" s="173">
        <f t="shared" si="22"/>
        <v>0</v>
      </c>
      <c r="U270" s="173">
        <f t="shared" si="22"/>
        <v>0</v>
      </c>
      <c r="V270" s="173">
        <f t="shared" si="22"/>
        <v>0</v>
      </c>
      <c r="W270" s="173">
        <f t="shared" si="22"/>
        <v>0</v>
      </c>
      <c r="X270" s="173">
        <f t="shared" si="22"/>
        <v>0</v>
      </c>
      <c r="Y270" s="173">
        <f t="shared" si="22"/>
        <v>0</v>
      </c>
      <c r="Z270" s="173">
        <f t="shared" si="22"/>
        <v>0</v>
      </c>
      <c r="AA270" s="173">
        <f t="shared" si="22"/>
        <v>0</v>
      </c>
      <c r="AB270" s="173">
        <f t="shared" si="22"/>
        <v>0</v>
      </c>
      <c r="AC270" s="173">
        <f t="shared" si="22"/>
        <v>0</v>
      </c>
      <c r="AD270" s="173">
        <f t="shared" si="22"/>
        <v>0</v>
      </c>
      <c r="AE270" s="173">
        <f t="shared" si="2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3">IF(B238&lt;100,"",B238-520)</f>
        <v/>
      </c>
      <c r="C271" s="174" t="str">
        <f t="shared" si="23"/>
        <v/>
      </c>
      <c r="D271" s="174" t="str">
        <f t="shared" si="23"/>
        <v/>
      </c>
      <c r="E271" s="174" t="str">
        <f t="shared" si="23"/>
        <v/>
      </c>
      <c r="F271" s="174" t="str">
        <f t="shared" si="23"/>
        <v/>
      </c>
      <c r="G271" s="174" t="str">
        <f t="shared" si="23"/>
        <v/>
      </c>
      <c r="H271" s="174" t="str">
        <f t="shared" si="23"/>
        <v/>
      </c>
      <c r="I271" s="174" t="str">
        <f t="shared" si="23"/>
        <v/>
      </c>
      <c r="J271" s="174" t="str">
        <f t="shared" si="23"/>
        <v/>
      </c>
      <c r="K271" s="174" t="str">
        <f t="shared" si="23"/>
        <v/>
      </c>
      <c r="L271" s="174" t="str">
        <f t="shared" si="23"/>
        <v/>
      </c>
      <c r="M271" s="174" t="str">
        <f t="shared" si="23"/>
        <v/>
      </c>
      <c r="N271" s="174" t="str">
        <f t="shared" si="23"/>
        <v/>
      </c>
      <c r="O271" s="174" t="str">
        <f t="shared" si="23"/>
        <v/>
      </c>
      <c r="P271" s="174" t="str">
        <f t="shared" si="23"/>
        <v/>
      </c>
      <c r="Q271" s="174" t="str">
        <f t="shared" si="23"/>
        <v/>
      </c>
      <c r="R271" s="174" t="str">
        <f t="shared" si="23"/>
        <v/>
      </c>
      <c r="S271" s="174" t="str">
        <f t="shared" si="23"/>
        <v/>
      </c>
      <c r="T271" s="174" t="str">
        <f t="shared" si="23"/>
        <v/>
      </c>
      <c r="U271" s="174" t="str">
        <f t="shared" si="23"/>
        <v/>
      </c>
      <c r="V271" s="174" t="str">
        <f t="shared" si="23"/>
        <v/>
      </c>
      <c r="W271" s="174" t="str">
        <f t="shared" si="23"/>
        <v/>
      </c>
      <c r="X271" s="174" t="str">
        <f t="shared" si="23"/>
        <v/>
      </c>
      <c r="Y271" s="174" t="str">
        <f t="shared" si="23"/>
        <v/>
      </c>
      <c r="Z271" s="174" t="str">
        <f t="shared" si="23"/>
        <v/>
      </c>
      <c r="AA271" s="174" t="str">
        <f t="shared" si="23"/>
        <v/>
      </c>
      <c r="AB271" s="174" t="str">
        <f t="shared" si="23"/>
        <v/>
      </c>
      <c r="AC271" s="174" t="str">
        <f t="shared" si="23"/>
        <v/>
      </c>
      <c r="AD271" s="174" t="str">
        <f t="shared" si="23"/>
        <v/>
      </c>
      <c r="AE271" s="174" t="str">
        <f t="shared" si="23"/>
        <v/>
      </c>
      <c r="AF271" s="174" t="str">
        <f t="shared" si="2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4">IF(B239&lt;100,"",B239-620)</f>
        <v/>
      </c>
      <c r="C272" s="174" t="str">
        <f t="shared" si="24"/>
        <v/>
      </c>
      <c r="D272" s="174" t="str">
        <f t="shared" si="24"/>
        <v/>
      </c>
      <c r="E272" s="174" t="str">
        <f t="shared" si="24"/>
        <v/>
      </c>
      <c r="F272" s="174" t="str">
        <f t="shared" si="24"/>
        <v/>
      </c>
      <c r="G272" s="174" t="str">
        <f t="shared" si="24"/>
        <v/>
      </c>
      <c r="H272" s="174" t="str">
        <f t="shared" si="24"/>
        <v/>
      </c>
      <c r="I272" s="174" t="str">
        <f t="shared" si="24"/>
        <v/>
      </c>
      <c r="J272" s="174" t="str">
        <f t="shared" si="24"/>
        <v/>
      </c>
      <c r="K272" s="174" t="str">
        <f t="shared" si="24"/>
        <v/>
      </c>
      <c r="L272" s="174" t="str">
        <f t="shared" si="24"/>
        <v/>
      </c>
      <c r="M272" s="174" t="str">
        <f t="shared" si="24"/>
        <v/>
      </c>
      <c r="N272" s="174" t="str">
        <f t="shared" si="24"/>
        <v/>
      </c>
      <c r="O272" s="174" t="str">
        <f t="shared" si="24"/>
        <v/>
      </c>
      <c r="P272" s="174" t="str">
        <f t="shared" si="24"/>
        <v/>
      </c>
      <c r="Q272" s="174" t="str">
        <f t="shared" si="24"/>
        <v/>
      </c>
      <c r="R272" s="174" t="str">
        <f t="shared" si="24"/>
        <v/>
      </c>
      <c r="S272" s="174" t="str">
        <f t="shared" si="24"/>
        <v/>
      </c>
      <c r="T272" s="174" t="str">
        <f t="shared" si="24"/>
        <v/>
      </c>
      <c r="U272" s="174" t="str">
        <f t="shared" si="24"/>
        <v/>
      </c>
      <c r="V272" s="174" t="str">
        <f t="shared" si="24"/>
        <v/>
      </c>
      <c r="W272" s="174" t="str">
        <f t="shared" si="24"/>
        <v/>
      </c>
      <c r="X272" s="174" t="str">
        <f t="shared" si="24"/>
        <v/>
      </c>
      <c r="Y272" s="174" t="str">
        <f t="shared" si="24"/>
        <v/>
      </c>
      <c r="Z272" s="174" t="str">
        <f t="shared" si="24"/>
        <v/>
      </c>
      <c r="AA272" s="174" t="str">
        <f t="shared" si="24"/>
        <v/>
      </c>
      <c r="AB272" s="174" t="str">
        <f t="shared" si="24"/>
        <v/>
      </c>
      <c r="AC272" s="174" t="str">
        <f t="shared" si="24"/>
        <v/>
      </c>
      <c r="AD272" s="174" t="str">
        <f t="shared" si="24"/>
        <v/>
      </c>
      <c r="AE272" s="174" t="str">
        <f t="shared" si="24"/>
        <v/>
      </c>
      <c r="AF272" s="174" t="str">
        <f t="shared" si="2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5">IF(B240&lt;100,"",B240-330)</f>
        <v/>
      </c>
      <c r="C273" s="174" t="str">
        <f t="shared" si="25"/>
        <v/>
      </c>
      <c r="D273" s="174" t="str">
        <f t="shared" si="25"/>
        <v/>
      </c>
      <c r="E273" s="174" t="str">
        <f t="shared" si="25"/>
        <v/>
      </c>
      <c r="F273" s="174" t="str">
        <f t="shared" si="25"/>
        <v/>
      </c>
      <c r="G273" s="174" t="str">
        <f t="shared" si="25"/>
        <v/>
      </c>
      <c r="H273" s="174" t="str">
        <f t="shared" si="25"/>
        <v/>
      </c>
      <c r="I273" s="174" t="str">
        <f t="shared" si="25"/>
        <v/>
      </c>
      <c r="J273" s="174" t="str">
        <f t="shared" si="25"/>
        <v/>
      </c>
      <c r="K273" s="174" t="str">
        <f t="shared" si="25"/>
        <v/>
      </c>
      <c r="L273" s="174" t="str">
        <f t="shared" si="25"/>
        <v/>
      </c>
      <c r="M273" s="174" t="str">
        <f t="shared" si="25"/>
        <v/>
      </c>
      <c r="N273" s="174" t="str">
        <f t="shared" si="25"/>
        <v/>
      </c>
      <c r="O273" s="174" t="str">
        <f t="shared" si="25"/>
        <v/>
      </c>
      <c r="P273" s="174" t="str">
        <f t="shared" si="25"/>
        <v/>
      </c>
      <c r="Q273" s="174" t="str">
        <f t="shared" si="25"/>
        <v/>
      </c>
      <c r="R273" s="174" t="str">
        <f t="shared" si="25"/>
        <v/>
      </c>
      <c r="S273" s="174" t="str">
        <f t="shared" si="25"/>
        <v/>
      </c>
      <c r="T273" s="174" t="str">
        <f t="shared" si="25"/>
        <v/>
      </c>
      <c r="U273" s="174" t="str">
        <f t="shared" si="25"/>
        <v/>
      </c>
      <c r="V273" s="174" t="str">
        <f t="shared" si="25"/>
        <v/>
      </c>
      <c r="W273" s="174" t="str">
        <f t="shared" si="25"/>
        <v/>
      </c>
      <c r="X273" s="174" t="str">
        <f t="shared" si="25"/>
        <v/>
      </c>
      <c r="Y273" s="174" t="str">
        <f t="shared" si="25"/>
        <v/>
      </c>
      <c r="Z273" s="174" t="str">
        <f t="shared" si="25"/>
        <v/>
      </c>
      <c r="AA273" s="174" t="str">
        <f t="shared" si="25"/>
        <v/>
      </c>
      <c r="AB273" s="174" t="str">
        <f t="shared" si="25"/>
        <v/>
      </c>
      <c r="AC273" s="174" t="str">
        <f t="shared" si="25"/>
        <v/>
      </c>
      <c r="AD273" s="174" t="str">
        <f t="shared" si="25"/>
        <v/>
      </c>
      <c r="AE273" s="174" t="str">
        <f t="shared" si="25"/>
        <v/>
      </c>
      <c r="AF273" s="174" t="str">
        <f t="shared" si="2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6">IF(B241&lt;100,"",B241-1500)</f>
        <v/>
      </c>
      <c r="C274" s="174" t="str">
        <f t="shared" si="26"/>
        <v/>
      </c>
      <c r="D274" s="174" t="str">
        <f t="shared" si="26"/>
        <v/>
      </c>
      <c r="E274" s="174" t="str">
        <f t="shared" si="26"/>
        <v/>
      </c>
      <c r="F274" s="174" t="str">
        <f t="shared" si="26"/>
        <v/>
      </c>
      <c r="G274" s="174" t="str">
        <f t="shared" si="26"/>
        <v/>
      </c>
      <c r="H274" s="174" t="str">
        <f t="shared" si="26"/>
        <v/>
      </c>
      <c r="I274" s="174" t="str">
        <f t="shared" si="26"/>
        <v/>
      </c>
      <c r="J274" s="174" t="str">
        <f t="shared" si="26"/>
        <v/>
      </c>
      <c r="K274" s="174" t="str">
        <f t="shared" si="26"/>
        <v/>
      </c>
      <c r="L274" s="174" t="str">
        <f t="shared" si="26"/>
        <v/>
      </c>
      <c r="M274" s="174" t="str">
        <f t="shared" si="26"/>
        <v/>
      </c>
      <c r="N274" s="174" t="str">
        <f t="shared" si="26"/>
        <v/>
      </c>
      <c r="O274" s="174" t="str">
        <f t="shared" si="26"/>
        <v/>
      </c>
      <c r="P274" s="174" t="str">
        <f t="shared" si="26"/>
        <v/>
      </c>
      <c r="Q274" s="174" t="str">
        <f t="shared" si="26"/>
        <v/>
      </c>
      <c r="R274" s="174" t="str">
        <f t="shared" si="26"/>
        <v/>
      </c>
      <c r="S274" s="174" t="str">
        <f t="shared" si="26"/>
        <v/>
      </c>
      <c r="T274" s="174" t="str">
        <f t="shared" si="26"/>
        <v/>
      </c>
      <c r="U274" s="174" t="str">
        <f t="shared" si="26"/>
        <v/>
      </c>
      <c r="V274" s="174" t="str">
        <f t="shared" si="26"/>
        <v/>
      </c>
      <c r="W274" s="174" t="str">
        <f t="shared" si="26"/>
        <v/>
      </c>
      <c r="X274" s="174" t="str">
        <f t="shared" si="26"/>
        <v/>
      </c>
      <c r="Y274" s="174" t="str">
        <f t="shared" si="26"/>
        <v/>
      </c>
      <c r="Z274" s="174" t="str">
        <f t="shared" si="26"/>
        <v/>
      </c>
      <c r="AA274" s="174" t="str">
        <f t="shared" si="26"/>
        <v/>
      </c>
      <c r="AB274" s="174" t="str">
        <f t="shared" si="26"/>
        <v/>
      </c>
      <c r="AC274" s="174" t="str">
        <f t="shared" si="26"/>
        <v/>
      </c>
      <c r="AD274" s="174" t="str">
        <f t="shared" si="26"/>
        <v/>
      </c>
      <c r="AE274" s="174" t="str">
        <f t="shared" si="26"/>
        <v/>
      </c>
      <c r="AF274" s="174" t="str">
        <f t="shared" si="2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4073" priority="64">
      <formula>$AH11=0</formula>
    </cfRule>
  </conditionalFormatting>
  <conditionalFormatting sqref="B8 M8 S8 AB8">
    <cfRule type="expression" dxfId="4072" priority="115">
      <formula>AND(C$9&gt;=14/24,C$9&lt;20/24)</formula>
    </cfRule>
    <cfRule type="expression" dxfId="4071" priority="116">
      <formula>AND(C$9&gt;=8/24,C$9&lt;14/24)</formula>
    </cfRule>
    <cfRule type="expression" dxfId="4070" priority="117">
      <formula>C$9&lt;8/24</formula>
    </cfRule>
  </conditionalFormatting>
  <conditionalFormatting sqref="B54:C54">
    <cfRule type="expression" dxfId="4069" priority="38">
      <formula>B$9&gt;=20/24</formula>
    </cfRule>
    <cfRule type="expression" dxfId="4068" priority="39">
      <formula>AND(B$9&gt;=14/24,B$9&lt;20/24)</formula>
    </cfRule>
    <cfRule type="expression" dxfId="4067" priority="40">
      <formula>AND(B$9&gt;=8/24,B$9&lt;14/24)</formula>
    </cfRule>
    <cfRule type="expression" dxfId="4066" priority="41">
      <formula>B$9&lt;8/24</formula>
    </cfRule>
  </conditionalFormatting>
  <conditionalFormatting sqref="B54:C66">
    <cfRule type="expression" dxfId="4065" priority="33">
      <formula>B54&gt;$AG54</formula>
    </cfRule>
  </conditionalFormatting>
  <conditionalFormatting sqref="B55:D59">
    <cfRule type="expression" dxfId="4064" priority="60">
      <formula>B$9&gt;=20/24</formula>
    </cfRule>
    <cfRule type="expression" dxfId="4063" priority="61">
      <formula>AND(B$9&gt;=14/24,B$9&lt;20/24)</formula>
    </cfRule>
    <cfRule type="expression" dxfId="4062" priority="62">
      <formula>AND(B$9&gt;=8/24,B$9&lt;14/24)</formula>
    </cfRule>
    <cfRule type="expression" dxfId="4061" priority="63">
      <formula>B$9&lt;8/24</formula>
    </cfRule>
  </conditionalFormatting>
  <conditionalFormatting sqref="B60:W60">
    <cfRule type="expression" dxfId="4060" priority="51">
      <formula>B$9&gt;=20/24</formula>
    </cfRule>
    <cfRule type="expression" dxfId="4059" priority="52">
      <formula>AND(B$9&gt;=14/24,B$9&lt;20/24)</formula>
    </cfRule>
    <cfRule type="expression" dxfId="4058" priority="53">
      <formula>AND(B$9&gt;=8/24,B$9&lt;14/24)</formula>
    </cfRule>
    <cfRule type="expression" dxfId="4057" priority="54">
      <formula>B$9&lt;8/24</formula>
    </cfRule>
  </conditionalFormatting>
  <conditionalFormatting sqref="B9:AF45">
    <cfRule type="expression" dxfId="4056" priority="23">
      <formula>B$9&gt;=20/24</formula>
    </cfRule>
    <cfRule type="expression" dxfId="4055" priority="24">
      <formula>AND(B$9&gt;=14/24,B$9&lt;20/24)</formula>
    </cfRule>
    <cfRule type="expression" dxfId="4054" priority="25">
      <formula>AND(B$9&gt;=8/24,B$9&lt;14/24)</formula>
    </cfRule>
    <cfRule type="expression" dxfId="4053" priority="26">
      <formula>B$9&lt;8/24</formula>
    </cfRule>
  </conditionalFormatting>
  <conditionalFormatting sqref="B11:AF46">
    <cfRule type="expression" dxfId="4052" priority="22">
      <formula>B11&gt;$AG11</formula>
    </cfRule>
  </conditionalFormatting>
  <conditionalFormatting sqref="B46:AF46">
    <cfRule type="expression" dxfId="4051" priority="18">
      <formula>B$9&gt;=20/24</formula>
    </cfRule>
    <cfRule type="expression" dxfId="4050" priority="19">
      <formula>AND(B$9&gt;=14/24,B$9&lt;20/24)</formula>
    </cfRule>
    <cfRule type="expression" dxfId="4049" priority="20">
      <formula>AND(B$9&gt;=8/24,B$9&lt;14/24)</formula>
    </cfRule>
    <cfRule type="expression" dxfId="4048" priority="21">
      <formula>B$9&lt;8/24</formula>
    </cfRule>
  </conditionalFormatting>
  <conditionalFormatting sqref="B47:AF47">
    <cfRule type="expression" dxfId="4047" priority="32">
      <formula>B47&gt;$AG47</formula>
    </cfRule>
  </conditionalFormatting>
  <conditionalFormatting sqref="B47:AF49">
    <cfRule type="expression" dxfId="4046" priority="28">
      <formula>B$9&gt;=20/24</formula>
    </cfRule>
    <cfRule type="expression" dxfId="4045" priority="29">
      <formula>AND(B$9&gt;=14/24,B$9&lt;20/24)</formula>
    </cfRule>
    <cfRule type="expression" dxfId="4044" priority="30">
      <formula>AND(B$9&gt;=8/24,B$9&lt;14/24)</formula>
    </cfRule>
    <cfRule type="expression" dxfId="4043" priority="31">
      <formula>B$9&lt;8/24</formula>
    </cfRule>
  </conditionalFormatting>
  <conditionalFormatting sqref="B48:AF53">
    <cfRule type="expression" dxfId="4042" priority="27">
      <formula>B48&gt;$AG48</formula>
    </cfRule>
  </conditionalFormatting>
  <conditionalFormatting sqref="B51:AF53">
    <cfRule type="expression" dxfId="4041" priority="47">
      <formula>B$9&gt;=20/24</formula>
    </cfRule>
    <cfRule type="expression" dxfId="4040" priority="48">
      <formula>AND(B$9&gt;=14/24,B$9&lt;20/24)</formula>
    </cfRule>
    <cfRule type="expression" dxfId="4039" priority="49">
      <formula>AND(B$9&gt;=8/24,B$9&lt;14/24)</formula>
    </cfRule>
    <cfRule type="expression" dxfId="4038" priority="50">
      <formula>B$9&lt;8/24</formula>
    </cfRule>
  </conditionalFormatting>
  <conditionalFormatting sqref="B61:AF66">
    <cfRule type="expression" dxfId="4037" priority="34">
      <formula>B$9&gt;=20/24</formula>
    </cfRule>
    <cfRule type="expression" dxfId="4036" priority="35">
      <formula>AND(B$9&gt;=14/24,B$9&lt;20/24)</formula>
    </cfRule>
    <cfRule type="expression" dxfId="4035" priority="36">
      <formula>AND(B$9&gt;=8/24,B$9&lt;14/24)</formula>
    </cfRule>
    <cfRule type="expression" dxfId="4034" priority="37">
      <formula>B$9&lt;8/24</formula>
    </cfRule>
  </conditionalFormatting>
  <conditionalFormatting sqref="B69:AF71">
    <cfRule type="expression" dxfId="4033" priority="55">
      <formula>B69&gt;$AG69</formula>
    </cfRule>
    <cfRule type="expression" dxfId="4032" priority="56">
      <formula>B$9&gt;=20/24</formula>
    </cfRule>
    <cfRule type="expression" dxfId="4031" priority="57">
      <formula>AND(B$9&gt;=14/24,B$9&lt;20/24)</formula>
    </cfRule>
    <cfRule type="expression" dxfId="4030" priority="58">
      <formula>AND(B$9&gt;=8/24,B$9&lt;14/24)</formula>
    </cfRule>
    <cfRule type="expression" dxfId="4029" priority="59">
      <formula>B$9&lt;8/24</formula>
    </cfRule>
  </conditionalFormatting>
  <conditionalFormatting sqref="B73:AF91">
    <cfRule type="expression" dxfId="4028" priority="1">
      <formula>B$9&gt;=20/24</formula>
    </cfRule>
    <cfRule type="expression" dxfId="4027" priority="2">
      <formula>AND(B$9&gt;=14/24,B$9&lt;20/24)</formula>
    </cfRule>
    <cfRule type="expression" dxfId="4026" priority="3">
      <formula>AND(B$9&gt;=8/24,B$9&lt;14/24)</formula>
    </cfRule>
    <cfRule type="expression" dxfId="4025" priority="4">
      <formula>B$9&lt;8/24</formula>
    </cfRule>
  </conditionalFormatting>
  <conditionalFormatting sqref="B111:AF120">
    <cfRule type="expression" dxfId="4024" priority="14">
      <formula>B$9&gt;=20/24</formula>
    </cfRule>
    <cfRule type="expression" dxfId="4023" priority="15">
      <formula>AND(B$9&gt;=14/24,B$9&lt;20/24)</formula>
    </cfRule>
    <cfRule type="expression" dxfId="4022" priority="16">
      <formula>AND(B$9&gt;=8/24,B$9&lt;14/24)</formula>
    </cfRule>
    <cfRule type="expression" dxfId="4021" priority="17">
      <formula>B$9&lt;8/24</formula>
    </cfRule>
  </conditionalFormatting>
  <conditionalFormatting sqref="B227:AF227 D229:AF230 B229:B235 D231:H231 J231:AF231 D232:AF235 U248:AF248">
    <cfRule type="expression" dxfId="4020" priority="108">
      <formula>B$9&gt;=20/24</formula>
    </cfRule>
    <cfRule type="expression" dxfId="4019" priority="109">
      <formula>AND(B$9&gt;=14/24,B$9&lt;20/24)</formula>
    </cfRule>
    <cfRule type="expression" dxfId="4018" priority="110">
      <formula>AND(B$9&gt;=8/24,B$9&lt;14/24)</formula>
    </cfRule>
    <cfRule type="expression" dxfId="4017" priority="111">
      <formula>B$9&lt;8/24</formula>
    </cfRule>
  </conditionalFormatting>
  <conditionalFormatting sqref="B67:AG68 B72:AG72">
    <cfRule type="expression" dxfId="4016" priority="42">
      <formula>B67&gt;$AG67</formula>
    </cfRule>
  </conditionalFormatting>
  <conditionalFormatting sqref="B72:AG72 B93:AF109">
    <cfRule type="expression" dxfId="4015" priority="43">
      <formula>B$9&gt;=20/24</formula>
    </cfRule>
    <cfRule type="expression" dxfId="4014" priority="44">
      <formula>AND(B$9&gt;=14/24,B$9&lt;20/24)</formula>
    </cfRule>
    <cfRule type="expression" dxfId="4013" priority="45">
      <formula>AND(B$9&gt;=8/24,B$9&lt;14/24)</formula>
    </cfRule>
    <cfRule type="expression" dxfId="4012" priority="46">
      <formula>B$9&lt;8/24</formula>
    </cfRule>
  </conditionalFormatting>
  <conditionalFormatting sqref="D55:AF66">
    <cfRule type="expression" dxfId="4011" priority="5">
      <formula>D55&gt;$AG55</formula>
    </cfRule>
  </conditionalFormatting>
  <conditionalFormatting sqref="D54:AG54">
    <cfRule type="expression" dxfId="4010" priority="76">
      <formula>D54&gt;$AG54</formula>
    </cfRule>
    <cfRule type="expression" dxfId="4009" priority="77">
      <formula>D$9&gt;=20/24</formula>
    </cfRule>
    <cfRule type="expression" dxfId="4008" priority="78">
      <formula>AND(D$9&gt;=14/24,D$9&lt;20/24)</formula>
    </cfRule>
    <cfRule type="expression" dxfId="4007" priority="79">
      <formula>AND(D$9&gt;=8/24,D$9&lt;14/24)</formula>
    </cfRule>
    <cfRule type="expression" dxfId="4006" priority="80">
      <formula>D$9&lt;8/24</formula>
    </cfRule>
  </conditionalFormatting>
  <conditionalFormatting sqref="E55:W57">
    <cfRule type="expression" dxfId="4005" priority="89">
      <formula>E$9&gt;=20/24</formula>
    </cfRule>
    <cfRule type="expression" dxfId="4004" priority="90">
      <formula>AND(E$9&gt;=14/24,E$9&lt;20/24)</formula>
    </cfRule>
    <cfRule type="expression" dxfId="4003" priority="91">
      <formula>AND(E$9&gt;=8/24,E$9&lt;14/24)</formula>
    </cfRule>
    <cfRule type="expression" dxfId="4002" priority="92">
      <formula>E$9&lt;8/24</formula>
    </cfRule>
  </conditionalFormatting>
  <conditionalFormatting sqref="M55:W59">
    <cfRule type="expression" dxfId="4001" priority="93">
      <formula>M$9&gt;=20/24</formula>
    </cfRule>
    <cfRule type="expression" dxfId="4000" priority="94">
      <formula>AND(M$9&gt;=14/24,M$9&lt;20/24)</formula>
    </cfRule>
    <cfRule type="expression" dxfId="3999" priority="95">
      <formula>AND(M$9&gt;=8/24,M$9&lt;14/24)</formula>
    </cfRule>
    <cfRule type="expression" dxfId="3998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997" priority="114">
      <formula>C$9&gt;=20/24</formula>
    </cfRule>
  </conditionalFormatting>
  <conditionalFormatting sqref="S8">
    <cfRule type="expression" dxfId="3996" priority="101">
      <formula>U$9&gt;=20/24</formula>
    </cfRule>
    <cfRule type="expression" dxfId="3995" priority="102">
      <formula>AND(U$9&gt;=14/24,U$9&lt;20/24)</formula>
    </cfRule>
    <cfRule type="expression" dxfId="3994" priority="103">
      <formula>AND(U$9&gt;=8/24,U$9&lt;14/24)</formula>
    </cfRule>
    <cfRule type="expression" dxfId="3993" priority="104">
      <formula>U$9&lt;8/24</formula>
    </cfRule>
  </conditionalFormatting>
  <conditionalFormatting sqref="S55:AF60">
    <cfRule type="expression" dxfId="3992" priority="10">
      <formula>S$9&gt;=20/24</formula>
    </cfRule>
    <cfRule type="expression" dxfId="3991" priority="11">
      <formula>AND(S$9&gt;=14/24,S$9&lt;20/24)</formula>
    </cfRule>
    <cfRule type="expression" dxfId="3990" priority="12">
      <formula>AND(S$9&gt;=8/24,S$9&lt;14/24)</formula>
    </cfRule>
    <cfRule type="expression" dxfId="3989" priority="13">
      <formula>S$9&lt;8/24</formula>
    </cfRule>
  </conditionalFormatting>
  <conditionalFormatting sqref="T248">
    <cfRule type="expression" dxfId="3988" priority="126">
      <formula>AX$9&gt;=20/24</formula>
    </cfRule>
    <cfRule type="expression" dxfId="3987" priority="127">
      <formula>AND(AX$9&gt;=14/24,AX$9&lt;20/24)</formula>
    </cfRule>
    <cfRule type="expression" dxfId="3986" priority="128">
      <formula>AND(AX$9&gt;=8/24,AX$9&lt;14/24)</formula>
    </cfRule>
    <cfRule type="expression" dxfId="3985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984" priority="97">
      <formula>AD$9&gt;=20/24</formula>
    </cfRule>
    <cfRule type="expression" dxfId="3983" priority="98">
      <formula>AND(AD$9&gt;=14/24,AD$9&lt;20/24)</formula>
    </cfRule>
    <cfRule type="expression" dxfId="3982" priority="99">
      <formula>AND(AD$9&gt;=8/24,AD$9&lt;14/24)</formula>
    </cfRule>
    <cfRule type="expression" dxfId="3981" priority="100">
      <formula>AD$9&lt;8/24</formula>
    </cfRule>
  </conditionalFormatting>
  <conditionalFormatting sqref="AE61:AF66">
    <cfRule type="expression" dxfId="3980" priority="6">
      <formula>AE$9&gt;=20/24</formula>
    </cfRule>
    <cfRule type="expression" dxfId="3979" priority="7">
      <formula>AND(AE$9&gt;=14/24,AE$9&lt;20/24)</formula>
    </cfRule>
    <cfRule type="expression" dxfId="3978" priority="8">
      <formula>AND(AE$9&gt;=8/24,AE$9&lt;14/24)</formula>
    </cfRule>
    <cfRule type="expression" dxfId="3977" priority="9">
      <formula>AE$9&lt;8/24</formula>
    </cfRule>
  </conditionalFormatting>
  <conditionalFormatting sqref="AG50">
    <cfRule type="expression" dxfId="3976" priority="84">
      <formula>AG50&gt;$AG50</formula>
    </cfRule>
  </conditionalFormatting>
  <conditionalFormatting sqref="AG89">
    <cfRule type="expression" dxfId="3975" priority="85">
      <formula>AG$9&gt;=20/24</formula>
    </cfRule>
    <cfRule type="expression" dxfId="3974" priority="86">
      <formula>AND(AG$9&gt;=14/24,AG$9&lt;20/24)</formula>
    </cfRule>
    <cfRule type="expression" dxfId="3973" priority="87">
      <formula>AND(AG$9&gt;=8/24,AG$9&lt;14/24)</formula>
    </cfRule>
    <cfRule type="expression" dxfId="3972" priority="88">
      <formula>AG$9&lt;8/24</formula>
    </cfRule>
  </conditionalFormatting>
  <conditionalFormatting sqref="AG248">
    <cfRule type="expression" dxfId="3971" priority="118">
      <formula>B$9&gt;=20/24</formula>
    </cfRule>
    <cfRule type="expression" dxfId="3970" priority="119">
      <formula>AND(B$9&gt;=14/24,B$9&lt;20/24)</formula>
    </cfRule>
    <cfRule type="expression" dxfId="3969" priority="120">
      <formula>AND(B$9&gt;=8/24,B$9&lt;14/24)</formula>
    </cfRule>
    <cfRule type="expression" dxfId="3968" priority="121">
      <formula>B$9&lt;8/24</formula>
    </cfRule>
  </conditionalFormatting>
  <conditionalFormatting sqref="AH248:AX248">
    <cfRule type="expression" dxfId="3967" priority="122">
      <formula>AG$9&gt;=20/24</formula>
    </cfRule>
    <cfRule type="expression" dxfId="3966" priority="123">
      <formula>AND(AG$9&gt;=14/24,AG$9&lt;20/24)</formula>
    </cfRule>
    <cfRule type="expression" dxfId="3965" priority="124">
      <formula>AND(AG$9&gt;=8/24,AG$9&lt;14/24)</formula>
    </cfRule>
    <cfRule type="expression" dxfId="3964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963" priority="131">
      <formula>AJ$9&gt;=20/24</formula>
    </cfRule>
    <cfRule type="expression" dxfId="3962" priority="132">
      <formula>AND(AJ$9&gt;=14/24,AJ$9&lt;20/24)</formula>
    </cfRule>
    <cfRule type="expression" dxfId="3961" priority="133">
      <formula>AND(AJ$9&gt;=8/24,AJ$9&lt;14/24)</formula>
    </cfRule>
    <cfRule type="expression" dxfId="3960" priority="134">
      <formula>AJ$9&lt;8/24</formula>
    </cfRule>
  </conditionalFormatting>
  <conditionalFormatting sqref="AL80:AN80 AL86:AN86">
    <cfRule type="expression" dxfId="3959" priority="72">
      <formula>AL$9&gt;=20/24</formula>
    </cfRule>
    <cfRule type="expression" dxfId="3958" priority="73">
      <formula>AND(AL$9&gt;=14/24,AL$9&lt;20/24)</formula>
    </cfRule>
    <cfRule type="expression" dxfId="3957" priority="74">
      <formula>AND(AL$9&gt;=8/24,AL$9&lt;14/24)</formula>
    </cfRule>
    <cfRule type="expression" dxfId="3956" priority="75">
      <formula>AL$9&lt;8/24</formula>
    </cfRule>
  </conditionalFormatting>
  <conditionalFormatting sqref="AN81:AN84">
    <cfRule type="expression" dxfId="3955" priority="68">
      <formula>AN$9&gt;=20/24</formula>
    </cfRule>
    <cfRule type="expression" dxfId="3954" priority="69">
      <formula>AND(AN$9&gt;=14/24,AN$9&lt;20/24)</formula>
    </cfRule>
    <cfRule type="expression" dxfId="3953" priority="70">
      <formula>AND(AN$9&gt;=8/24,AN$9&lt;14/24)</formula>
    </cfRule>
    <cfRule type="expression" dxfId="3952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BEAC2-1A2F-4E43-82BC-10440D5FB957}">
  <sheetPr codeName="Sheet35"/>
  <dimension ref="A1:CJ281"/>
  <sheetViews>
    <sheetView zoomScaleNormal="100" workbookViewId="0">
      <pane xSplit="1" ySplit="10" topLeftCell="L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M95" sqref="AM9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2080/05/31</v>
      </c>
      <c r="C4" s="201"/>
      <c r="D4" s="201"/>
      <c r="E4" s="202" t="str">
        <f ca="1">"2080/"&amp;"05/"&amp;INT(MID(CELL("filename",G6),FIND("]",CELL("filename",G6))+1,200))</f>
        <v>2080/05/31</v>
      </c>
      <c r="F4" s="202"/>
      <c r="G4" s="202"/>
      <c r="H4" s="202" t="str">
        <f ca="1">TEXT(E4,"dddd")</f>
        <v>Friday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6.3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2079MW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Load=1947</v>
      </c>
      <c r="B7" s="35">
        <f t="shared" ref="B7:AF7" si="1">B91</f>
        <v>2040.8400000000001</v>
      </c>
      <c r="C7" s="35">
        <f t="shared" si="1"/>
        <v>2040.8400000000001</v>
      </c>
      <c r="D7" s="35">
        <f t="shared" si="1"/>
        <v>2040.8400000000001</v>
      </c>
      <c r="E7" s="35">
        <f t="shared" si="1"/>
        <v>2040.8400000000001</v>
      </c>
      <c r="F7" s="35">
        <f t="shared" si="1"/>
        <v>2040.8400000000001</v>
      </c>
      <c r="G7" s="35">
        <f t="shared" si="1"/>
        <v>2040.8400000000001</v>
      </c>
      <c r="H7" s="35">
        <f t="shared" si="1"/>
        <v>2040.8400000000001</v>
      </c>
      <c r="I7" s="35">
        <f t="shared" si="1"/>
        <v>2014.3400000000001</v>
      </c>
      <c r="J7" s="35">
        <f t="shared" si="1"/>
        <v>2015.64</v>
      </c>
      <c r="K7" s="35">
        <f t="shared" si="1"/>
        <v>2014.3400000000001</v>
      </c>
      <c r="L7" s="35">
        <f t="shared" si="1"/>
        <v>2014.3400000000001</v>
      </c>
      <c r="M7" s="35">
        <f t="shared" si="1"/>
        <v>2053.04</v>
      </c>
      <c r="N7" s="35">
        <f>N91</f>
        <v>2078.7400000000002</v>
      </c>
      <c r="O7" s="35">
        <f t="shared" si="1"/>
        <v>2079.54</v>
      </c>
      <c r="P7" s="35">
        <f t="shared" si="1"/>
        <v>2114.1400000000003</v>
      </c>
      <c r="Q7" s="35">
        <f t="shared" si="1"/>
        <v>2138.0400000000004</v>
      </c>
      <c r="R7" s="35">
        <f t="shared" si="1"/>
        <v>2110.14</v>
      </c>
      <c r="S7" s="35">
        <f t="shared" si="1"/>
        <v>2142.84</v>
      </c>
      <c r="T7" s="35">
        <f t="shared" si="1"/>
        <v>2100.84</v>
      </c>
      <c r="U7" s="35">
        <f t="shared" si="1"/>
        <v>1955.74</v>
      </c>
      <c r="V7" s="35">
        <f t="shared" si="1"/>
        <v>1959.6399999999999</v>
      </c>
      <c r="W7" s="35">
        <f t="shared" si="1"/>
        <v>1947.04</v>
      </c>
      <c r="X7" s="35">
        <f t="shared" si="1"/>
        <v>2007.5400000000002</v>
      </c>
      <c r="Y7" s="35">
        <f t="shared" si="1"/>
        <v>2085.94</v>
      </c>
      <c r="Z7" s="35">
        <f t="shared" si="1"/>
        <v>2120.14</v>
      </c>
      <c r="AA7" s="35">
        <f t="shared" si="1"/>
        <v>2059.3399999999997</v>
      </c>
      <c r="AB7" s="35">
        <f t="shared" si="1"/>
        <v>2078.54</v>
      </c>
      <c r="AC7" s="35">
        <f t="shared" si="1"/>
        <v>2065.0300000000002</v>
      </c>
      <c r="AD7" s="35">
        <f t="shared" si="1"/>
        <v>2039.23</v>
      </c>
      <c r="AE7" s="35">
        <f t="shared" si="1"/>
        <v>2039.23</v>
      </c>
      <c r="AF7" s="35">
        <f t="shared" si="1"/>
        <v>2039.23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>
        <v>90</v>
      </c>
      <c r="V11" s="45">
        <v>90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10</v>
      </c>
      <c r="W12" s="45">
        <v>10</v>
      </c>
      <c r="X12" s="45">
        <v>10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9</v>
      </c>
      <c r="AE12" s="45">
        <v>9</v>
      </c>
      <c r="AF12" s="45">
        <v>9</v>
      </c>
      <c r="AG12" s="49">
        <v>54</v>
      </c>
      <c r="AH12" s="47">
        <f t="shared" si="2"/>
        <v>13</v>
      </c>
      <c r="AI12" s="48">
        <f t="shared" si="3"/>
        <v>9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54.4</v>
      </c>
      <c r="D13" s="45">
        <v>54.4</v>
      </c>
      <c r="E13" s="45">
        <v>54.4</v>
      </c>
      <c r="F13" s="45">
        <v>54.4</v>
      </c>
      <c r="G13" s="45">
        <v>54.4</v>
      </c>
      <c r="H13" s="45">
        <v>54.4</v>
      </c>
      <c r="I13" s="45">
        <v>54.4</v>
      </c>
      <c r="J13" s="45">
        <v>54.4</v>
      </c>
      <c r="K13" s="45">
        <v>54.4</v>
      </c>
      <c r="L13" s="45">
        <v>54.4</v>
      </c>
      <c r="M13" s="45">
        <v>28.1</v>
      </c>
      <c r="N13" s="45">
        <v>28.1</v>
      </c>
      <c r="O13" s="45">
        <v>28.1</v>
      </c>
      <c r="P13" s="45">
        <v>28.1</v>
      </c>
      <c r="Q13" s="45">
        <v>28.1</v>
      </c>
      <c r="R13" s="45">
        <v>28.9</v>
      </c>
      <c r="S13" s="45">
        <v>28.9</v>
      </c>
      <c r="T13" s="45">
        <v>28.9</v>
      </c>
      <c r="U13" s="45">
        <v>28.9</v>
      </c>
      <c r="V13" s="45">
        <v>28.9</v>
      </c>
      <c r="W13" s="45">
        <v>28.9</v>
      </c>
      <c r="X13" s="45">
        <v>28.9</v>
      </c>
      <c r="Y13" s="45">
        <v>28.9</v>
      </c>
      <c r="Z13" s="45">
        <v>28.9</v>
      </c>
      <c r="AA13" s="45">
        <v>0</v>
      </c>
      <c r="AB13" s="45">
        <v>28.4</v>
      </c>
      <c r="AC13" s="45">
        <v>28.4</v>
      </c>
      <c r="AD13" s="45">
        <v>28.4</v>
      </c>
      <c r="AE13" s="45">
        <v>28.4</v>
      </c>
      <c r="AF13" s="45">
        <v>28.4</v>
      </c>
      <c r="AG13" s="46">
        <v>52.4</v>
      </c>
      <c r="AH13" s="47">
        <f t="shared" si="2"/>
        <v>54.4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50.7</v>
      </c>
      <c r="D14" s="58">
        <v>50.7</v>
      </c>
      <c r="E14" s="58">
        <v>50.7</v>
      </c>
      <c r="F14" s="58">
        <v>50.7</v>
      </c>
      <c r="G14" s="58">
        <v>50.7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50.7</v>
      </c>
      <c r="N14" s="58">
        <v>50.7</v>
      </c>
      <c r="O14" s="58">
        <v>50.7</v>
      </c>
      <c r="P14" s="58">
        <v>50.7</v>
      </c>
      <c r="Q14" s="58">
        <v>50.7</v>
      </c>
      <c r="R14" s="58">
        <v>50.7</v>
      </c>
      <c r="S14" s="58">
        <v>50.7</v>
      </c>
      <c r="T14" s="58">
        <v>50.7</v>
      </c>
      <c r="U14" s="58">
        <v>50</v>
      </c>
      <c r="V14" s="58">
        <v>50</v>
      </c>
      <c r="W14" s="58">
        <v>50</v>
      </c>
      <c r="X14" s="58">
        <v>50</v>
      </c>
      <c r="Y14" s="58">
        <v>50</v>
      </c>
      <c r="Z14" s="58">
        <v>50</v>
      </c>
      <c r="AA14" s="58">
        <v>50</v>
      </c>
      <c r="AB14" s="58">
        <v>50.8</v>
      </c>
      <c r="AC14" s="58">
        <v>50.8</v>
      </c>
      <c r="AD14" s="58">
        <v>50.8</v>
      </c>
      <c r="AE14" s="58">
        <v>50.8</v>
      </c>
      <c r="AF14" s="58">
        <v>50.8</v>
      </c>
      <c r="AG14" s="49">
        <v>50</v>
      </c>
      <c r="AH14" s="47">
        <f t="shared" si="2"/>
        <v>50.8</v>
      </c>
      <c r="AI14" s="48">
        <f t="shared" si="3"/>
        <v>50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36</v>
      </c>
      <c r="K15" s="45">
        <v>36</v>
      </c>
      <c r="L15" s="45">
        <v>36</v>
      </c>
      <c r="M15" s="45">
        <v>36</v>
      </c>
      <c r="N15" s="45">
        <v>36</v>
      </c>
      <c r="O15" s="45">
        <v>36</v>
      </c>
      <c r="P15" s="45">
        <v>36</v>
      </c>
      <c r="Q15" s="45">
        <v>36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46.7</v>
      </c>
      <c r="AC15" s="45">
        <v>46.7</v>
      </c>
      <c r="AD15" s="45">
        <v>46.7</v>
      </c>
      <c r="AE15" s="45">
        <v>46.7</v>
      </c>
      <c r="AF15" s="45">
        <v>46.7</v>
      </c>
      <c r="AG15" s="49">
        <v>45</v>
      </c>
      <c r="AH15" s="47">
        <f t="shared" si="2"/>
        <v>46.7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40</v>
      </c>
      <c r="V16" s="45">
        <v>40</v>
      </c>
      <c r="W16" s="45">
        <v>40</v>
      </c>
      <c r="X16" s="45">
        <v>40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29</v>
      </c>
      <c r="G17" s="45">
        <v>29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29</v>
      </c>
      <c r="N17" s="45">
        <v>29</v>
      </c>
      <c r="O17" s="45">
        <v>29</v>
      </c>
      <c r="P17" s="45">
        <v>29</v>
      </c>
      <c r="Q17" s="45">
        <v>29</v>
      </c>
      <c r="R17" s="45">
        <v>29</v>
      </c>
      <c r="S17" s="45">
        <v>29</v>
      </c>
      <c r="T17" s="45">
        <v>29</v>
      </c>
      <c r="U17" s="45">
        <v>28</v>
      </c>
      <c r="V17" s="45">
        <v>28</v>
      </c>
      <c r="W17" s="45">
        <v>28</v>
      </c>
      <c r="X17" s="45">
        <v>28</v>
      </c>
      <c r="Y17" s="45">
        <v>29.5</v>
      </c>
      <c r="Z17" s="45">
        <v>36</v>
      </c>
      <c r="AA17" s="45">
        <v>36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36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36</v>
      </c>
      <c r="C19" s="45">
        <v>30</v>
      </c>
      <c r="D19" s="45">
        <v>30</v>
      </c>
      <c r="E19" s="45">
        <v>30</v>
      </c>
      <c r="F19" s="45">
        <v>30</v>
      </c>
      <c r="G19" s="45">
        <v>30</v>
      </c>
      <c r="H19" s="45">
        <v>30</v>
      </c>
      <c r="I19" s="45">
        <v>30</v>
      </c>
      <c r="J19" s="45">
        <v>30</v>
      </c>
      <c r="K19" s="45">
        <v>30</v>
      </c>
      <c r="L19" s="45">
        <v>30</v>
      </c>
      <c r="M19" s="45">
        <v>30</v>
      </c>
      <c r="N19" s="45">
        <v>30</v>
      </c>
      <c r="O19" s="45">
        <v>30</v>
      </c>
      <c r="P19" s="45">
        <v>30</v>
      </c>
      <c r="Q19" s="45">
        <v>30</v>
      </c>
      <c r="R19" s="45">
        <v>35</v>
      </c>
      <c r="S19" s="45">
        <v>35</v>
      </c>
      <c r="T19" s="45">
        <v>35</v>
      </c>
      <c r="U19" s="45">
        <v>35</v>
      </c>
      <c r="V19" s="45">
        <v>35</v>
      </c>
      <c r="W19" s="45">
        <v>35</v>
      </c>
      <c r="X19" s="45">
        <v>35</v>
      </c>
      <c r="Y19" s="45">
        <v>35</v>
      </c>
      <c r="Z19" s="45">
        <v>35</v>
      </c>
      <c r="AA19" s="45">
        <v>35</v>
      </c>
      <c r="AB19" s="45">
        <v>35</v>
      </c>
      <c r="AC19" s="45">
        <v>35</v>
      </c>
      <c r="AD19" s="45">
        <v>35</v>
      </c>
      <c r="AE19" s="45">
        <v>35</v>
      </c>
      <c r="AF19" s="45">
        <v>35</v>
      </c>
      <c r="AG19" s="49">
        <v>36</v>
      </c>
      <c r="AH19" s="47">
        <f t="shared" si="2"/>
        <v>36</v>
      </c>
      <c r="AI19" s="48">
        <f t="shared" si="3"/>
        <v>30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15</v>
      </c>
      <c r="D20" s="45">
        <v>15</v>
      </c>
      <c r="E20" s="45">
        <v>15</v>
      </c>
      <c r="F20" s="45">
        <v>15</v>
      </c>
      <c r="G20" s="45">
        <v>15</v>
      </c>
      <c r="H20" s="45">
        <v>15</v>
      </c>
      <c r="I20" s="45">
        <v>15</v>
      </c>
      <c r="J20" s="45">
        <v>15</v>
      </c>
      <c r="K20" s="45">
        <v>15</v>
      </c>
      <c r="L20" s="45">
        <v>15</v>
      </c>
      <c r="M20" s="45">
        <v>15</v>
      </c>
      <c r="N20" s="45">
        <v>25.6</v>
      </c>
      <c r="O20" s="45">
        <v>25.6</v>
      </c>
      <c r="P20" s="45">
        <v>25.6</v>
      </c>
      <c r="Q20" s="45">
        <v>30</v>
      </c>
      <c r="R20" s="45">
        <v>25</v>
      </c>
      <c r="S20" s="45">
        <v>25</v>
      </c>
      <c r="T20" s="45">
        <v>25</v>
      </c>
      <c r="U20" s="45">
        <v>10.9</v>
      </c>
      <c r="V20" s="45">
        <v>10.9</v>
      </c>
      <c r="W20" s="45">
        <v>5</v>
      </c>
      <c r="X20" s="45">
        <v>5</v>
      </c>
      <c r="Y20" s="45">
        <v>30</v>
      </c>
      <c r="Z20" s="45">
        <v>30</v>
      </c>
      <c r="AA20" s="45">
        <v>25</v>
      </c>
      <c r="AB20" s="45">
        <v>20.7</v>
      </c>
      <c r="AC20" s="45">
        <v>10</v>
      </c>
      <c r="AD20" s="45">
        <v>5</v>
      </c>
      <c r="AE20" s="45">
        <v>5</v>
      </c>
      <c r="AF20" s="45">
        <v>5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20</v>
      </c>
      <c r="N21" s="45">
        <v>20</v>
      </c>
      <c r="O21" s="45">
        <v>20</v>
      </c>
      <c r="P21" s="45">
        <v>33</v>
      </c>
      <c r="Q21" s="45">
        <v>33</v>
      </c>
      <c r="R21" s="45">
        <v>26.7</v>
      </c>
      <c r="S21" s="45">
        <v>26.7</v>
      </c>
      <c r="T21" s="45">
        <v>26.7</v>
      </c>
      <c r="U21" s="45">
        <v>20</v>
      </c>
      <c r="V21" s="45">
        <v>20</v>
      </c>
      <c r="W21" s="45">
        <v>21.2</v>
      </c>
      <c r="X21" s="45">
        <v>21.2</v>
      </c>
      <c r="Y21" s="45">
        <v>26.9</v>
      </c>
      <c r="Z21" s="45">
        <v>26.9</v>
      </c>
      <c r="AA21" s="45">
        <v>10</v>
      </c>
      <c r="AB21" s="45">
        <v>25.8</v>
      </c>
      <c r="AC21" s="45">
        <v>25.8</v>
      </c>
      <c r="AD21" s="45">
        <v>25.8</v>
      </c>
      <c r="AE21" s="45">
        <v>25.8</v>
      </c>
      <c r="AF21" s="45">
        <v>25.8</v>
      </c>
      <c r="AG21" s="49">
        <v>24.2</v>
      </c>
      <c r="AH21" s="47">
        <f t="shared" si="2"/>
        <v>33</v>
      </c>
      <c r="AI21" s="48">
        <f t="shared" si="3"/>
        <v>10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20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28.5</v>
      </c>
      <c r="AC22" s="45">
        <v>28.5</v>
      </c>
      <c r="AD22" s="45">
        <v>28.5</v>
      </c>
      <c r="AE22" s="45">
        <v>28.5</v>
      </c>
      <c r="AF22" s="45">
        <v>28.5</v>
      </c>
      <c r="AG22" s="49">
        <v>28</v>
      </c>
      <c r="AH22" s="47">
        <f t="shared" si="2"/>
        <v>28.6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5</v>
      </c>
      <c r="C23" s="45">
        <v>5</v>
      </c>
      <c r="D23" s="45">
        <v>5</v>
      </c>
      <c r="E23" s="45">
        <v>5</v>
      </c>
      <c r="F23" s="45">
        <v>5</v>
      </c>
      <c r="G23" s="45">
        <v>5</v>
      </c>
      <c r="H23" s="45">
        <v>5</v>
      </c>
      <c r="I23" s="45">
        <v>5</v>
      </c>
      <c r="J23" s="45">
        <v>5</v>
      </c>
      <c r="K23" s="45">
        <v>5</v>
      </c>
      <c r="L23" s="45">
        <v>13</v>
      </c>
      <c r="M23" s="45">
        <v>13</v>
      </c>
      <c r="N23" s="45">
        <v>22.5</v>
      </c>
      <c r="O23" s="45">
        <v>22.5</v>
      </c>
      <c r="P23" s="45">
        <v>22.5</v>
      </c>
      <c r="Q23" s="45">
        <v>27</v>
      </c>
      <c r="R23" s="45">
        <v>22.5</v>
      </c>
      <c r="S23" s="45">
        <v>22.5</v>
      </c>
      <c r="T23" s="45">
        <v>22.5</v>
      </c>
      <c r="U23" s="45">
        <v>5</v>
      </c>
      <c r="V23" s="45">
        <v>5</v>
      </c>
      <c r="W23" s="45">
        <v>5</v>
      </c>
      <c r="X23" s="45">
        <v>5</v>
      </c>
      <c r="Y23" s="45">
        <v>14</v>
      </c>
      <c r="Z23" s="45">
        <v>27</v>
      </c>
      <c r="AA23" s="45">
        <v>22</v>
      </c>
      <c r="AB23" s="45">
        <v>18</v>
      </c>
      <c r="AC23" s="45">
        <v>9</v>
      </c>
      <c r="AD23" s="45">
        <v>4.5</v>
      </c>
      <c r="AE23" s="45">
        <v>4.5</v>
      </c>
      <c r="AF23" s="45">
        <v>4.5</v>
      </c>
      <c r="AG23" s="51">
        <v>30</v>
      </c>
      <c r="AH23" s="47">
        <f t="shared" si="2"/>
        <v>27</v>
      </c>
      <c r="AI23" s="48">
        <f t="shared" si="3"/>
        <v>4.5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24.5</v>
      </c>
      <c r="T24" s="45">
        <v>24.5</v>
      </c>
      <c r="U24" s="45">
        <v>12.4</v>
      </c>
      <c r="V24" s="45">
        <v>16.600000000000001</v>
      </c>
      <c r="W24" s="45">
        <v>16.600000000000001</v>
      </c>
      <c r="X24" s="45">
        <v>25.5</v>
      </c>
      <c r="Y24" s="45">
        <v>25.5</v>
      </c>
      <c r="Z24" s="45">
        <v>25.5</v>
      </c>
      <c r="AA24" s="45">
        <v>25.5</v>
      </c>
      <c r="AB24" s="45">
        <v>26.2</v>
      </c>
      <c r="AC24" s="45">
        <v>26.2</v>
      </c>
      <c r="AD24" s="45">
        <v>26.2</v>
      </c>
      <c r="AE24" s="45">
        <v>26.2</v>
      </c>
      <c r="AF24" s="45">
        <v>26.2</v>
      </c>
      <c r="AG24" s="49">
        <v>25</v>
      </c>
      <c r="AH24" s="47">
        <f t="shared" si="2"/>
        <v>26.2</v>
      </c>
      <c r="AI24" s="48">
        <f t="shared" si="3"/>
        <v>12.4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5</v>
      </c>
      <c r="E27" s="45">
        <v>5</v>
      </c>
      <c r="F27" s="45">
        <v>5</v>
      </c>
      <c r="G27" s="45">
        <v>5</v>
      </c>
      <c r="H27" s="45">
        <v>5</v>
      </c>
      <c r="I27" s="45">
        <v>5</v>
      </c>
      <c r="J27" s="45">
        <v>5</v>
      </c>
      <c r="K27" s="45">
        <v>5</v>
      </c>
      <c r="L27" s="45">
        <v>13</v>
      </c>
      <c r="M27" s="45">
        <v>13</v>
      </c>
      <c r="N27" s="45">
        <v>21</v>
      </c>
      <c r="O27" s="45">
        <v>21</v>
      </c>
      <c r="P27" s="45">
        <v>20</v>
      </c>
      <c r="Q27" s="45">
        <v>20</v>
      </c>
      <c r="R27" s="45">
        <v>21</v>
      </c>
      <c r="S27" s="45">
        <v>21</v>
      </c>
      <c r="T27" s="45">
        <v>21</v>
      </c>
      <c r="U27" s="45">
        <v>5</v>
      </c>
      <c r="V27" s="45">
        <v>5</v>
      </c>
      <c r="W27" s="45">
        <v>5</v>
      </c>
      <c r="X27" s="45">
        <v>5</v>
      </c>
      <c r="Y27" s="45">
        <v>13</v>
      </c>
      <c r="Z27" s="45">
        <v>25</v>
      </c>
      <c r="AA27" s="45">
        <v>20</v>
      </c>
      <c r="AB27" s="45">
        <v>17</v>
      </c>
      <c r="AC27" s="45">
        <v>8.5</v>
      </c>
      <c r="AD27" s="45">
        <v>4.5</v>
      </c>
      <c r="AE27" s="45">
        <v>4.5</v>
      </c>
      <c r="AF27" s="45">
        <v>4.5</v>
      </c>
      <c r="AG27" s="49">
        <v>25</v>
      </c>
      <c r="AH27" s="47">
        <f t="shared" si="2"/>
        <v>25</v>
      </c>
      <c r="AI27" s="48">
        <f t="shared" si="3"/>
        <v>4.5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17</v>
      </c>
      <c r="Q32" s="45">
        <v>17</v>
      </c>
      <c r="R32" s="45">
        <v>20.3</v>
      </c>
      <c r="S32" s="45">
        <v>20.3</v>
      </c>
      <c r="T32" s="45">
        <v>20.3</v>
      </c>
      <c r="U32" s="45">
        <v>20.3</v>
      </c>
      <c r="V32" s="45">
        <v>20.3</v>
      </c>
      <c r="W32" s="45">
        <v>20.3</v>
      </c>
      <c r="X32" s="45">
        <v>20.3</v>
      </c>
      <c r="Y32" s="45">
        <v>20.3</v>
      </c>
      <c r="Z32" s="45">
        <v>20.3</v>
      </c>
      <c r="AA32" s="45">
        <v>20.3</v>
      </c>
      <c r="AB32" s="45">
        <v>20.3</v>
      </c>
      <c r="AC32" s="45">
        <v>20.3</v>
      </c>
      <c r="AD32" s="45">
        <v>20.3</v>
      </c>
      <c r="AE32" s="45">
        <v>20.3</v>
      </c>
      <c r="AF32" s="45">
        <v>20.3</v>
      </c>
      <c r="AG32" s="49">
        <v>22</v>
      </c>
      <c r="AH32" s="47">
        <f t="shared" si="2"/>
        <v>22</v>
      </c>
      <c r="AI32" s="48">
        <f t="shared" si="3"/>
        <v>17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5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6</v>
      </c>
      <c r="Q33" s="45">
        <v>6</v>
      </c>
      <c r="R33" s="45">
        <v>6</v>
      </c>
      <c r="S33" s="45">
        <v>6</v>
      </c>
      <c r="T33" s="45">
        <v>6</v>
      </c>
      <c r="U33" s="45">
        <v>8</v>
      </c>
      <c r="V33" s="45">
        <v>8</v>
      </c>
      <c r="W33" s="45">
        <v>8</v>
      </c>
      <c r="X33" s="45">
        <v>8</v>
      </c>
      <c r="Y33" s="45">
        <v>8</v>
      </c>
      <c r="Z33" s="45">
        <v>10</v>
      </c>
      <c r="AA33" s="45">
        <v>10</v>
      </c>
      <c r="AB33" s="45">
        <v>5</v>
      </c>
      <c r="AC33" s="45">
        <v>5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10</v>
      </c>
      <c r="AI33" s="48">
        <f t="shared" si="3"/>
        <v>5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5</v>
      </c>
      <c r="D34" s="45">
        <v>5</v>
      </c>
      <c r="E34" s="45">
        <v>5</v>
      </c>
      <c r="F34" s="45">
        <v>5</v>
      </c>
      <c r="G34" s="45">
        <v>5</v>
      </c>
      <c r="H34" s="45">
        <v>5</v>
      </c>
      <c r="I34" s="45">
        <v>5</v>
      </c>
      <c r="J34" s="45">
        <v>5</v>
      </c>
      <c r="K34" s="45">
        <v>5</v>
      </c>
      <c r="L34" s="45">
        <v>5</v>
      </c>
      <c r="M34" s="45">
        <v>5</v>
      </c>
      <c r="N34" s="45">
        <v>5</v>
      </c>
      <c r="O34" s="45">
        <v>5</v>
      </c>
      <c r="P34" s="45">
        <v>5</v>
      </c>
      <c r="Q34" s="45">
        <v>5</v>
      </c>
      <c r="R34" s="45">
        <v>5</v>
      </c>
      <c r="S34" s="45">
        <v>5</v>
      </c>
      <c r="T34" s="45">
        <v>5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7</v>
      </c>
      <c r="AA34" s="45">
        <v>7</v>
      </c>
      <c r="AB34" s="45">
        <v>4</v>
      </c>
      <c r="AC34" s="45">
        <v>4</v>
      </c>
      <c r="AD34" s="45">
        <v>4</v>
      </c>
      <c r="AE34" s="45">
        <v>4</v>
      </c>
      <c r="AF34" s="45">
        <v>4</v>
      </c>
      <c r="AG34" s="49">
        <v>18</v>
      </c>
      <c r="AH34" s="47">
        <f t="shared" si="2"/>
        <v>7</v>
      </c>
      <c r="AI34" s="48">
        <f t="shared" si="3"/>
        <v>4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15.4</v>
      </c>
      <c r="C35" s="45">
        <v>15.4</v>
      </c>
      <c r="D35" s="45">
        <v>15.4</v>
      </c>
      <c r="E35" s="45">
        <v>15.4</v>
      </c>
      <c r="F35" s="45">
        <v>15.4</v>
      </c>
      <c r="G35" s="45">
        <v>15.4</v>
      </c>
      <c r="H35" s="45">
        <v>15.4</v>
      </c>
      <c r="I35" s="45">
        <v>15.4</v>
      </c>
      <c r="J35" s="45">
        <v>15.4</v>
      </c>
      <c r="K35" s="45">
        <v>15.4</v>
      </c>
      <c r="L35" s="45">
        <v>15.4</v>
      </c>
      <c r="M35" s="45">
        <v>15.4</v>
      </c>
      <c r="N35" s="45">
        <v>15.4</v>
      </c>
      <c r="O35" s="45">
        <v>15.4</v>
      </c>
      <c r="P35" s="45">
        <v>15.4</v>
      </c>
      <c r="Q35" s="45">
        <v>15.4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7.5</v>
      </c>
      <c r="AC35" s="45">
        <v>15.89</v>
      </c>
      <c r="AD35" s="45">
        <v>15.89</v>
      </c>
      <c r="AE35" s="45">
        <v>15.89</v>
      </c>
      <c r="AF35" s="45">
        <v>15.89</v>
      </c>
      <c r="AG35" s="49">
        <v>14.9</v>
      </c>
      <c r="AH35" s="47">
        <f t="shared" si="2"/>
        <v>15.89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11</v>
      </c>
      <c r="C38" s="45">
        <v>11</v>
      </c>
      <c r="D38" s="45">
        <v>11</v>
      </c>
      <c r="E38" s="45">
        <v>11</v>
      </c>
      <c r="F38" s="45">
        <v>11</v>
      </c>
      <c r="G38" s="45">
        <v>11</v>
      </c>
      <c r="H38" s="45">
        <v>11</v>
      </c>
      <c r="I38" s="45">
        <v>11</v>
      </c>
      <c r="J38" s="45">
        <v>11</v>
      </c>
      <c r="K38" s="45">
        <v>11</v>
      </c>
      <c r="L38" s="45">
        <v>11</v>
      </c>
      <c r="M38" s="45">
        <v>11</v>
      </c>
      <c r="N38" s="45">
        <v>11</v>
      </c>
      <c r="O38" s="45">
        <v>11</v>
      </c>
      <c r="P38" s="45">
        <v>11</v>
      </c>
      <c r="Q38" s="45">
        <v>11</v>
      </c>
      <c r="R38" s="45">
        <v>11</v>
      </c>
      <c r="S38" s="45">
        <v>11</v>
      </c>
      <c r="T38" s="45">
        <v>11</v>
      </c>
      <c r="U38" s="45">
        <v>7</v>
      </c>
      <c r="V38" s="45">
        <v>7</v>
      </c>
      <c r="W38" s="45">
        <v>7</v>
      </c>
      <c r="X38" s="45">
        <v>7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7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>
        <v>3</v>
      </c>
      <c r="I39" s="45">
        <v>3</v>
      </c>
      <c r="J39" s="45">
        <v>3</v>
      </c>
      <c r="K39" s="45">
        <v>3</v>
      </c>
      <c r="L39" s="45">
        <v>6</v>
      </c>
      <c r="M39" s="45">
        <v>6</v>
      </c>
      <c r="N39" s="45">
        <v>10</v>
      </c>
      <c r="O39" s="45">
        <v>10</v>
      </c>
      <c r="P39" s="45">
        <v>10</v>
      </c>
      <c r="Q39" s="45">
        <v>10</v>
      </c>
      <c r="R39" s="45">
        <v>10</v>
      </c>
      <c r="S39" s="45">
        <v>10</v>
      </c>
      <c r="T39" s="45">
        <v>10</v>
      </c>
      <c r="U39" s="45">
        <v>3</v>
      </c>
      <c r="V39" s="45">
        <v>3</v>
      </c>
      <c r="W39" s="45">
        <v>3</v>
      </c>
      <c r="X39" s="45">
        <v>3</v>
      </c>
      <c r="Y39" s="45">
        <v>12</v>
      </c>
      <c r="Z39" s="45">
        <v>12</v>
      </c>
      <c r="AA39" s="45">
        <v>12</v>
      </c>
      <c r="AB39" s="45">
        <v>4</v>
      </c>
      <c r="AC39" s="45">
        <v>4</v>
      </c>
      <c r="AD39" s="45">
        <v>2</v>
      </c>
      <c r="AE39" s="45">
        <v>2</v>
      </c>
      <c r="AF39" s="45">
        <v>2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</v>
      </c>
      <c r="C40" s="45">
        <v>4</v>
      </c>
      <c r="D40" s="45">
        <v>4</v>
      </c>
      <c r="E40" s="45">
        <v>4</v>
      </c>
      <c r="F40" s="45">
        <v>4</v>
      </c>
      <c r="G40" s="45">
        <v>4</v>
      </c>
      <c r="H40" s="45">
        <v>4</v>
      </c>
      <c r="I40" s="45">
        <v>4</v>
      </c>
      <c r="J40" s="45">
        <v>4</v>
      </c>
      <c r="K40" s="45">
        <v>4</v>
      </c>
      <c r="L40" s="45">
        <v>4</v>
      </c>
      <c r="M40" s="45">
        <v>4</v>
      </c>
      <c r="N40" s="45">
        <v>4</v>
      </c>
      <c r="O40" s="45">
        <v>4</v>
      </c>
      <c r="P40" s="45">
        <v>4</v>
      </c>
      <c r="Q40" s="45">
        <v>4</v>
      </c>
      <c r="R40" s="45">
        <v>4</v>
      </c>
      <c r="S40" s="45">
        <v>4</v>
      </c>
      <c r="T40" s="45">
        <v>4</v>
      </c>
      <c r="U40" s="45">
        <v>4</v>
      </c>
      <c r="V40" s="45">
        <v>4</v>
      </c>
      <c r="W40" s="45">
        <v>4</v>
      </c>
      <c r="X40" s="45">
        <v>4</v>
      </c>
      <c r="Y40" s="45">
        <v>4</v>
      </c>
      <c r="Z40" s="45">
        <v>4</v>
      </c>
      <c r="AA40" s="45">
        <v>4</v>
      </c>
      <c r="AB40" s="45">
        <v>4</v>
      </c>
      <c r="AC40" s="45">
        <v>4</v>
      </c>
      <c r="AD40" s="45">
        <v>4</v>
      </c>
      <c r="AE40" s="45">
        <v>4</v>
      </c>
      <c r="AF40" s="45">
        <v>4</v>
      </c>
      <c r="AG40" s="49">
        <v>12</v>
      </c>
      <c r="AH40" s="47">
        <f t="shared" si="2"/>
        <v>4</v>
      </c>
      <c r="AI40" s="48">
        <f t="shared" si="3"/>
        <v>4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6</v>
      </c>
      <c r="V43" s="45">
        <v>6</v>
      </c>
      <c r="W43" s="45">
        <v>6</v>
      </c>
      <c r="X43" s="45">
        <v>6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6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5</v>
      </c>
      <c r="C45" s="45">
        <v>5</v>
      </c>
      <c r="D45" s="45">
        <v>5</v>
      </c>
      <c r="E45" s="45">
        <v>5</v>
      </c>
      <c r="F45" s="45">
        <v>5</v>
      </c>
      <c r="G45" s="45">
        <v>5</v>
      </c>
      <c r="H45" s="45">
        <v>5</v>
      </c>
      <c r="I45" s="45">
        <v>5</v>
      </c>
      <c r="J45" s="45">
        <v>5</v>
      </c>
      <c r="K45" s="45">
        <v>5</v>
      </c>
      <c r="L45" s="45">
        <v>5</v>
      </c>
      <c r="M45" s="45">
        <v>5</v>
      </c>
      <c r="N45" s="45">
        <v>5</v>
      </c>
      <c r="O45" s="45">
        <v>5</v>
      </c>
      <c r="P45" s="45">
        <v>5</v>
      </c>
      <c r="Q45" s="45">
        <v>5</v>
      </c>
      <c r="R45" s="45">
        <v>5</v>
      </c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9</v>
      </c>
      <c r="AI45" s="48">
        <f t="shared" si="3"/>
        <v>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380</v>
      </c>
      <c r="C48" s="56">
        <v>380</v>
      </c>
      <c r="D48" s="56">
        <v>380</v>
      </c>
      <c r="E48" s="56">
        <v>380</v>
      </c>
      <c r="F48" s="56">
        <v>380</v>
      </c>
      <c r="G48" s="56">
        <v>380</v>
      </c>
      <c r="H48" s="56">
        <v>380</v>
      </c>
      <c r="I48" s="56">
        <v>380</v>
      </c>
      <c r="J48" s="56">
        <v>380</v>
      </c>
      <c r="K48" s="56">
        <v>380</v>
      </c>
      <c r="L48" s="56">
        <v>380</v>
      </c>
      <c r="M48" s="56">
        <v>380</v>
      </c>
      <c r="N48" s="56">
        <v>380</v>
      </c>
      <c r="O48" s="56">
        <v>380</v>
      </c>
      <c r="P48" s="56">
        <v>380</v>
      </c>
      <c r="Q48" s="56">
        <v>380</v>
      </c>
      <c r="R48" s="56">
        <v>380</v>
      </c>
      <c r="S48" s="56">
        <v>380</v>
      </c>
      <c r="T48" s="56">
        <v>380</v>
      </c>
      <c r="U48" s="56">
        <v>380</v>
      </c>
      <c r="V48" s="56">
        <v>380</v>
      </c>
      <c r="W48" s="56">
        <v>380</v>
      </c>
      <c r="X48" s="56">
        <v>380</v>
      </c>
      <c r="Y48" s="56">
        <v>380</v>
      </c>
      <c r="Z48" s="56">
        <v>380</v>
      </c>
      <c r="AA48" s="56">
        <v>380</v>
      </c>
      <c r="AB48" s="56">
        <v>380</v>
      </c>
      <c r="AC48" s="56">
        <v>380</v>
      </c>
      <c r="AD48" s="56">
        <v>380</v>
      </c>
      <c r="AE48" s="56">
        <v>380</v>
      </c>
      <c r="AF48" s="56">
        <v>380</v>
      </c>
      <c r="AG48" s="54">
        <v>85</v>
      </c>
      <c r="AH48" s="47">
        <f t="shared" si="2"/>
        <v>380</v>
      </c>
      <c r="AI48" s="48">
        <f t="shared" si="3"/>
        <v>380</v>
      </c>
      <c r="AK48" s="50"/>
    </row>
    <row r="49" spans="1:41" ht="15.75" thickBot="1" x14ac:dyDescent="0.3">
      <c r="A49" s="57" t="s">
        <v>57</v>
      </c>
      <c r="B49" s="56">
        <v>111.7</v>
      </c>
      <c r="C49" s="56">
        <v>111.7</v>
      </c>
      <c r="D49" s="56">
        <v>111.7</v>
      </c>
      <c r="E49" s="56">
        <v>111.7</v>
      </c>
      <c r="F49" s="56">
        <v>111.7</v>
      </c>
      <c r="G49" s="56">
        <v>111.7</v>
      </c>
      <c r="H49" s="56">
        <v>111.7</v>
      </c>
      <c r="I49" s="56">
        <v>111.7</v>
      </c>
      <c r="J49" s="56">
        <v>111.7</v>
      </c>
      <c r="K49" s="56">
        <v>111.7</v>
      </c>
      <c r="L49" s="56">
        <v>111.7</v>
      </c>
      <c r="M49" s="58">
        <v>122</v>
      </c>
      <c r="N49" s="58">
        <v>87</v>
      </c>
      <c r="O49" s="58">
        <v>86.4</v>
      </c>
      <c r="P49" s="58">
        <v>64</v>
      </c>
      <c r="Q49" s="58">
        <v>85</v>
      </c>
      <c r="R49" s="58">
        <v>85</v>
      </c>
      <c r="S49" s="58">
        <f>82.6+33.3</f>
        <v>115.89999999999999</v>
      </c>
      <c r="T49" s="58">
        <f>82.6+33.3</f>
        <v>115.89999999999999</v>
      </c>
      <c r="U49" s="58">
        <f>31.7+78.8</f>
        <v>110.5</v>
      </c>
      <c r="V49" s="58">
        <f>31.7+78.8</f>
        <v>110.5</v>
      </c>
      <c r="W49" s="58">
        <f>31.7+78.8</f>
        <v>110.5</v>
      </c>
      <c r="X49" s="58">
        <f>31.7+78.8</f>
        <v>110.5</v>
      </c>
      <c r="Y49" s="58">
        <f>69.3+29.5</f>
        <v>98.8</v>
      </c>
      <c r="Z49" s="58">
        <f>69.3+29.5</f>
        <v>98.8</v>
      </c>
      <c r="AA49" s="58">
        <f>31.2+75</f>
        <v>106.2</v>
      </c>
      <c r="AB49" s="58">
        <f>30.1+76.7</f>
        <v>106.80000000000001</v>
      </c>
      <c r="AC49" s="56">
        <v>112</v>
      </c>
      <c r="AD49" s="56">
        <v>112</v>
      </c>
      <c r="AE49" s="56">
        <v>122</v>
      </c>
      <c r="AF49" s="56">
        <v>123</v>
      </c>
      <c r="AG49" s="54">
        <v>240</v>
      </c>
      <c r="AH49" s="47">
        <f t="shared" si="2"/>
        <v>123</v>
      </c>
      <c r="AI49" s="48">
        <f t="shared" si="3"/>
        <v>64</v>
      </c>
      <c r="AK49" s="50"/>
    </row>
    <row r="50" spans="1:41" ht="15.75" thickBot="1" x14ac:dyDescent="0.3">
      <c r="A50" s="59" t="s">
        <v>58</v>
      </c>
      <c r="B50" s="60">
        <v>1092.5</v>
      </c>
      <c r="C50" s="60">
        <v>1092.5</v>
      </c>
      <c r="D50" s="60">
        <v>1092.5</v>
      </c>
      <c r="E50" s="60">
        <v>1092.5</v>
      </c>
      <c r="F50" s="60">
        <v>1092.5</v>
      </c>
      <c r="G50" s="60">
        <v>1092.5</v>
      </c>
      <c r="H50" s="60">
        <v>1092.5</v>
      </c>
      <c r="I50" s="60">
        <v>1092.5</v>
      </c>
      <c r="J50" s="60">
        <v>1092.5</v>
      </c>
      <c r="K50" s="60">
        <v>1092.5</v>
      </c>
      <c r="L50" s="60">
        <v>1092.5</v>
      </c>
      <c r="M50" s="60">
        <f t="shared" ref="M50:AF50" si="4">SUM(M11:M48)</f>
        <v>1079.2</v>
      </c>
      <c r="N50" s="60">
        <f t="shared" si="4"/>
        <v>1119.9000000000001</v>
      </c>
      <c r="O50" s="60">
        <f t="shared" si="4"/>
        <v>1119.9000000000001</v>
      </c>
      <c r="P50" s="60">
        <f t="shared" si="4"/>
        <v>1127.9000000000001</v>
      </c>
      <c r="Q50" s="60">
        <f t="shared" si="4"/>
        <v>1136.8000000000002</v>
      </c>
      <c r="R50" s="60">
        <f t="shared" si="4"/>
        <v>1126.4000000000001</v>
      </c>
      <c r="S50" s="60">
        <f t="shared" si="4"/>
        <v>1130.4000000000001</v>
      </c>
      <c r="T50" s="60">
        <f t="shared" si="4"/>
        <v>1130.4000000000001</v>
      </c>
      <c r="U50" s="60">
        <f t="shared" si="4"/>
        <v>1043.3</v>
      </c>
      <c r="V50" s="60">
        <f t="shared" si="4"/>
        <v>1044.5</v>
      </c>
      <c r="W50" s="60">
        <f t="shared" si="4"/>
        <v>1039.8000000000002</v>
      </c>
      <c r="X50" s="60">
        <f t="shared" si="4"/>
        <v>1048.7</v>
      </c>
      <c r="Y50" s="60">
        <f t="shared" si="4"/>
        <v>1123.9000000000001</v>
      </c>
      <c r="Z50" s="60">
        <f t="shared" si="4"/>
        <v>1160.4000000000001</v>
      </c>
      <c r="AA50" s="60">
        <f t="shared" si="4"/>
        <v>1099.5999999999999</v>
      </c>
      <c r="AB50" s="60">
        <f t="shared" si="4"/>
        <v>1118.3999999999999</v>
      </c>
      <c r="AC50" s="60">
        <f t="shared" si="4"/>
        <v>1098.5899999999999</v>
      </c>
      <c r="AD50" s="60">
        <f t="shared" si="4"/>
        <v>1079.0899999999999</v>
      </c>
      <c r="AE50" s="60">
        <f t="shared" si="4"/>
        <v>1079.0899999999999</v>
      </c>
      <c r="AF50" s="60">
        <f t="shared" si="4"/>
        <v>1079.0899999999999</v>
      </c>
      <c r="AG50" s="61">
        <f>SUM(AG13:AG48)</f>
        <v>922.14</v>
      </c>
      <c r="AH50" s="47">
        <f t="shared" si="2"/>
        <v>1160.4000000000001</v>
      </c>
      <c r="AI50" s="48">
        <f t="shared" si="3"/>
        <v>1039.8000000000002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8.3000000000000007</v>
      </c>
      <c r="S53" s="66">
        <v>22.1</v>
      </c>
      <c r="T53" s="66">
        <v>22.1</v>
      </c>
      <c r="U53" s="66">
        <v>22.1</v>
      </c>
      <c r="V53" s="66">
        <v>22.1</v>
      </c>
      <c r="W53" s="66">
        <v>22.1</v>
      </c>
      <c r="X53" s="66">
        <v>22.1</v>
      </c>
      <c r="Y53" s="66">
        <v>22.1</v>
      </c>
      <c r="Z53" s="66">
        <v>22.1</v>
      </c>
      <c r="AA53" s="66">
        <v>22.1</v>
      </c>
      <c r="AB53" s="66">
        <v>22.1</v>
      </c>
      <c r="AC53" s="66">
        <v>22.1</v>
      </c>
      <c r="AD53" s="66">
        <v>22.1</v>
      </c>
      <c r="AE53" s="66">
        <v>22.1</v>
      </c>
      <c r="AF53" s="66">
        <v>22.1</v>
      </c>
      <c r="AG53" s="67">
        <v>22.1</v>
      </c>
      <c r="AH53" s="47">
        <f t="shared" si="2"/>
        <v>22.1</v>
      </c>
      <c r="AI53" s="48">
        <f t="shared" si="3"/>
        <v>8.3000000000000007</v>
      </c>
      <c r="AK53" s="50"/>
    </row>
    <row r="54" spans="1:41" ht="15.75" thickBot="1" x14ac:dyDescent="0.3">
      <c r="A54" s="68" t="s">
        <v>62</v>
      </c>
      <c r="B54" s="60">
        <v>528</v>
      </c>
      <c r="C54" s="60">
        <v>528</v>
      </c>
      <c r="D54" s="60">
        <v>528</v>
      </c>
      <c r="E54" s="60">
        <v>528</v>
      </c>
      <c r="F54" s="60">
        <v>528</v>
      </c>
      <c r="G54" s="60">
        <v>528</v>
      </c>
      <c r="H54" s="60">
        <v>528</v>
      </c>
      <c r="I54" s="60">
        <v>528</v>
      </c>
      <c r="J54" s="60">
        <v>528</v>
      </c>
      <c r="K54" s="60">
        <v>528</v>
      </c>
      <c r="L54" s="60">
        <v>528</v>
      </c>
      <c r="M54" s="60">
        <f t="shared" ref="M54:AG54" si="5">SUM(M51:M53)</f>
        <v>538</v>
      </c>
      <c r="N54" s="60">
        <f t="shared" si="5"/>
        <v>538</v>
      </c>
      <c r="O54" s="60">
        <f t="shared" si="5"/>
        <v>538</v>
      </c>
      <c r="P54" s="60">
        <f t="shared" si="5"/>
        <v>538</v>
      </c>
      <c r="Q54" s="60">
        <f t="shared" si="5"/>
        <v>538</v>
      </c>
      <c r="R54" s="60">
        <f t="shared" si="5"/>
        <v>524.29999999999995</v>
      </c>
      <c r="S54" s="60">
        <f t="shared" si="5"/>
        <v>538.1</v>
      </c>
      <c r="T54" s="60">
        <f t="shared" si="5"/>
        <v>538.1</v>
      </c>
      <c r="U54" s="60">
        <f t="shared" si="5"/>
        <v>538.1</v>
      </c>
      <c r="V54" s="60">
        <f t="shared" si="5"/>
        <v>538.1</v>
      </c>
      <c r="W54" s="60">
        <f t="shared" si="5"/>
        <v>538.1</v>
      </c>
      <c r="X54" s="60">
        <f t="shared" si="5"/>
        <v>538.1</v>
      </c>
      <c r="Y54" s="60">
        <f t="shared" si="5"/>
        <v>538.1</v>
      </c>
      <c r="Z54" s="60">
        <f t="shared" si="5"/>
        <v>538.1</v>
      </c>
      <c r="AA54" s="60">
        <f t="shared" si="5"/>
        <v>538.1</v>
      </c>
      <c r="AB54" s="60">
        <f t="shared" si="5"/>
        <v>538.1</v>
      </c>
      <c r="AC54" s="60">
        <f t="shared" si="5"/>
        <v>538.1</v>
      </c>
      <c r="AD54" s="60">
        <f t="shared" si="5"/>
        <v>538.1</v>
      </c>
      <c r="AE54" s="60">
        <f t="shared" si="5"/>
        <v>538.1</v>
      </c>
      <c r="AF54" s="60">
        <f t="shared" si="5"/>
        <v>538.1</v>
      </c>
      <c r="AG54" s="61">
        <f t="shared" si="5"/>
        <v>538.1</v>
      </c>
      <c r="AH54" s="47">
        <f t="shared" si="2"/>
        <v>538.1</v>
      </c>
      <c r="AI54" s="48">
        <f t="shared" si="3"/>
        <v>524.29999999999995</v>
      </c>
      <c r="AK54" s="50"/>
    </row>
    <row r="55" spans="1:41" x14ac:dyDescent="0.25">
      <c r="A55" s="44" t="s">
        <v>63</v>
      </c>
      <c r="B55" s="45">
        <v>145.5</v>
      </c>
      <c r="C55" s="45">
        <v>145.5</v>
      </c>
      <c r="D55" s="45">
        <v>145.5</v>
      </c>
      <c r="E55" s="45">
        <v>145.5</v>
      </c>
      <c r="F55" s="45">
        <v>145.5</v>
      </c>
      <c r="G55" s="45">
        <v>145.5</v>
      </c>
      <c r="H55" s="45">
        <v>145.5</v>
      </c>
      <c r="I55" s="45">
        <v>145.5</v>
      </c>
      <c r="J55" s="45">
        <v>145.5</v>
      </c>
      <c r="K55" s="45">
        <v>145.5</v>
      </c>
      <c r="L55" s="45">
        <v>145.5</v>
      </c>
      <c r="M55" s="45">
        <v>145.5</v>
      </c>
      <c r="N55" s="45">
        <v>145.5</v>
      </c>
      <c r="O55" s="45">
        <v>145.5</v>
      </c>
      <c r="P55" s="45">
        <v>145.5</v>
      </c>
      <c r="Q55" s="45">
        <v>145.5</v>
      </c>
      <c r="R55" s="45">
        <v>146.9</v>
      </c>
      <c r="S55" s="45">
        <v>146.9</v>
      </c>
      <c r="T55" s="45">
        <v>146.9</v>
      </c>
      <c r="U55" s="45">
        <v>111</v>
      </c>
      <c r="V55" s="45">
        <v>112</v>
      </c>
      <c r="W55" s="45">
        <v>112</v>
      </c>
      <c r="X55" s="45">
        <v>143.9</v>
      </c>
      <c r="Y55" s="45">
        <v>145.9</v>
      </c>
      <c r="Z55" s="45">
        <v>145.9</v>
      </c>
      <c r="AA55" s="45">
        <v>145.9</v>
      </c>
      <c r="AB55" s="45">
        <v>146.9</v>
      </c>
      <c r="AC55" s="45">
        <v>146.9</v>
      </c>
      <c r="AD55" s="45">
        <v>146.9</v>
      </c>
      <c r="AE55" s="45">
        <v>146.9</v>
      </c>
      <c r="AF55" s="45">
        <v>146.9</v>
      </c>
      <c r="AG55" s="51">
        <v>144</v>
      </c>
      <c r="AH55" s="47">
        <f t="shared" si="2"/>
        <v>146.9</v>
      </c>
      <c r="AI55" s="48">
        <f t="shared" si="3"/>
        <v>111</v>
      </c>
      <c r="AK55" s="50"/>
    </row>
    <row r="56" spans="1:41" x14ac:dyDescent="0.25">
      <c r="A56" s="53" t="s">
        <v>64</v>
      </c>
      <c r="B56" s="64">
        <v>68</v>
      </c>
      <c r="C56" s="64">
        <v>68</v>
      </c>
      <c r="D56" s="64">
        <v>68</v>
      </c>
      <c r="E56" s="64">
        <v>68</v>
      </c>
      <c r="F56" s="64">
        <v>68</v>
      </c>
      <c r="G56" s="64">
        <v>68</v>
      </c>
      <c r="H56" s="64">
        <v>68</v>
      </c>
      <c r="I56" s="64">
        <v>68</v>
      </c>
      <c r="J56" s="64">
        <v>68</v>
      </c>
      <c r="K56" s="64">
        <v>68</v>
      </c>
      <c r="L56" s="64">
        <v>68</v>
      </c>
      <c r="M56" s="64">
        <v>68</v>
      </c>
      <c r="N56" s="64">
        <v>68</v>
      </c>
      <c r="O56" s="64">
        <v>68</v>
      </c>
      <c r="P56" s="64">
        <v>70</v>
      </c>
      <c r="Q56" s="64">
        <v>70</v>
      </c>
      <c r="R56" s="64">
        <v>70.900000000000006</v>
      </c>
      <c r="S56" s="64">
        <v>70.900000000000006</v>
      </c>
      <c r="T56" s="64">
        <v>70.900000000000006</v>
      </c>
      <c r="U56" s="64">
        <v>60</v>
      </c>
      <c r="V56" s="64">
        <v>69.8</v>
      </c>
      <c r="W56" s="45">
        <v>60</v>
      </c>
      <c r="X56" s="45">
        <v>69</v>
      </c>
      <c r="Y56" s="45">
        <v>70.2</v>
      </c>
      <c r="Z56" s="45">
        <v>68.2</v>
      </c>
      <c r="AA56" s="45">
        <v>68.2</v>
      </c>
      <c r="AB56" s="45">
        <v>70.400000000000006</v>
      </c>
      <c r="AC56" s="45">
        <v>70.400000000000006</v>
      </c>
      <c r="AD56" s="45">
        <v>70.400000000000006</v>
      </c>
      <c r="AE56" s="45">
        <v>70.400000000000006</v>
      </c>
      <c r="AF56" s="45">
        <v>70.400000000000006</v>
      </c>
      <c r="AG56" s="54">
        <v>70</v>
      </c>
      <c r="AH56" s="47">
        <f t="shared" si="2"/>
        <v>70.900000000000006</v>
      </c>
      <c r="AI56" s="48">
        <f t="shared" si="3"/>
        <v>60</v>
      </c>
      <c r="AK56" s="50"/>
    </row>
    <row r="57" spans="1:41" x14ac:dyDescent="0.25">
      <c r="A57" s="53" t="s">
        <v>65</v>
      </c>
      <c r="B57" s="64">
        <v>65.099999999999994</v>
      </c>
      <c r="C57" s="64">
        <v>65.099999999999994</v>
      </c>
      <c r="D57" s="64">
        <v>65.099999999999994</v>
      </c>
      <c r="E57" s="64">
        <v>65.099999999999994</v>
      </c>
      <c r="F57" s="64">
        <v>65.099999999999994</v>
      </c>
      <c r="G57" s="64">
        <v>65.099999999999994</v>
      </c>
      <c r="H57" s="64">
        <v>65.099999999999994</v>
      </c>
      <c r="I57" s="64">
        <v>65.099999999999994</v>
      </c>
      <c r="J57" s="64">
        <v>65.099999999999994</v>
      </c>
      <c r="K57" s="64">
        <v>65.099999999999994</v>
      </c>
      <c r="L57" s="64">
        <v>65.099999999999994</v>
      </c>
      <c r="M57" s="64">
        <v>65.099999999999994</v>
      </c>
      <c r="N57" s="64">
        <v>65.099999999999994</v>
      </c>
      <c r="O57" s="64">
        <v>65.099999999999994</v>
      </c>
      <c r="P57" s="64">
        <v>65.099999999999994</v>
      </c>
      <c r="Q57" s="64">
        <v>65.099999999999994</v>
      </c>
      <c r="R57" s="64">
        <v>65.8</v>
      </c>
      <c r="S57" s="64">
        <v>65.8</v>
      </c>
      <c r="T57" s="64">
        <v>65.8</v>
      </c>
      <c r="U57" s="64">
        <v>64.400000000000006</v>
      </c>
      <c r="V57" s="64">
        <v>60</v>
      </c>
      <c r="W57" s="45">
        <v>61.7</v>
      </c>
      <c r="X57" s="45">
        <v>66.400000000000006</v>
      </c>
      <c r="Y57" s="45">
        <v>66.7</v>
      </c>
      <c r="Z57" s="45">
        <v>66.7</v>
      </c>
      <c r="AA57" s="45">
        <v>66.7</v>
      </c>
      <c r="AB57" s="45">
        <v>64.3</v>
      </c>
      <c r="AC57" s="45">
        <v>64.3</v>
      </c>
      <c r="AD57" s="45">
        <v>64.3</v>
      </c>
      <c r="AE57" s="45">
        <v>64.3</v>
      </c>
      <c r="AF57" s="45">
        <v>64.3</v>
      </c>
      <c r="AG57" s="54">
        <v>69</v>
      </c>
      <c r="AH57" s="47">
        <f t="shared" si="2"/>
        <v>66.7</v>
      </c>
      <c r="AI57" s="48">
        <f t="shared" si="3"/>
        <v>60</v>
      </c>
      <c r="AK57" s="50"/>
    </row>
    <row r="58" spans="1:41" x14ac:dyDescent="0.25">
      <c r="A58" s="53" t="s">
        <v>66</v>
      </c>
      <c r="B58" s="64">
        <v>61.4</v>
      </c>
      <c r="C58" s="64">
        <v>61.4</v>
      </c>
      <c r="D58" s="64">
        <v>61.4</v>
      </c>
      <c r="E58" s="64">
        <v>42</v>
      </c>
      <c r="F58" s="64">
        <v>42</v>
      </c>
      <c r="G58" s="64">
        <v>42</v>
      </c>
      <c r="H58" s="64">
        <v>42</v>
      </c>
      <c r="I58" s="64">
        <v>42</v>
      </c>
      <c r="J58" s="64">
        <v>42</v>
      </c>
      <c r="K58" s="64">
        <v>42</v>
      </c>
      <c r="L58" s="64">
        <v>42</v>
      </c>
      <c r="M58" s="64">
        <v>45.6</v>
      </c>
      <c r="N58" s="64">
        <v>45.6</v>
      </c>
      <c r="O58" s="64">
        <v>45.6</v>
      </c>
      <c r="P58" s="64">
        <v>60</v>
      </c>
      <c r="Q58" s="64">
        <v>60</v>
      </c>
      <c r="R58" s="64">
        <v>59.5</v>
      </c>
      <c r="S58" s="64">
        <v>59.5</v>
      </c>
      <c r="T58" s="64">
        <v>59.5</v>
      </c>
      <c r="U58" s="64">
        <v>60</v>
      </c>
      <c r="V58" s="64">
        <v>55.7</v>
      </c>
      <c r="W58" s="45">
        <v>55.9</v>
      </c>
      <c r="X58" s="45">
        <v>60.4</v>
      </c>
      <c r="Y58" s="45">
        <v>60.7</v>
      </c>
      <c r="Z58" s="45">
        <v>60.4</v>
      </c>
      <c r="AA58" s="45">
        <v>60.4</v>
      </c>
      <c r="AB58" s="45">
        <v>60</v>
      </c>
      <c r="AC58" s="45">
        <v>60</v>
      </c>
      <c r="AD58" s="45">
        <v>60</v>
      </c>
      <c r="AE58" s="45">
        <v>60</v>
      </c>
      <c r="AF58" s="45">
        <v>60</v>
      </c>
      <c r="AG58" s="54">
        <v>60</v>
      </c>
      <c r="AH58" s="47">
        <f t="shared" si="2"/>
        <v>61.4</v>
      </c>
      <c r="AI58" s="48">
        <f t="shared" si="3"/>
        <v>42</v>
      </c>
      <c r="AK58" s="50"/>
    </row>
    <row r="59" spans="1:41" x14ac:dyDescent="0.25">
      <c r="A59" s="53" t="s">
        <v>67</v>
      </c>
      <c r="B59" s="64">
        <v>25</v>
      </c>
      <c r="C59" s="64">
        <v>15</v>
      </c>
      <c r="D59" s="64">
        <v>15</v>
      </c>
      <c r="E59" s="64">
        <v>15</v>
      </c>
      <c r="F59" s="64">
        <v>15</v>
      </c>
      <c r="G59" s="64">
        <v>15</v>
      </c>
      <c r="H59" s="64">
        <v>15</v>
      </c>
      <c r="I59" s="64">
        <v>15</v>
      </c>
      <c r="J59" s="64">
        <v>15</v>
      </c>
      <c r="K59" s="64">
        <v>15</v>
      </c>
      <c r="L59" s="64">
        <v>15</v>
      </c>
      <c r="M59" s="64">
        <v>15</v>
      </c>
      <c r="N59" s="64">
        <v>0</v>
      </c>
      <c r="O59" s="64">
        <v>0</v>
      </c>
      <c r="P59" s="64">
        <v>0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15</v>
      </c>
      <c r="W59" s="64">
        <v>15</v>
      </c>
      <c r="X59" s="64">
        <v>15</v>
      </c>
      <c r="Y59" s="64">
        <v>15</v>
      </c>
      <c r="Z59" s="64">
        <v>15</v>
      </c>
      <c r="AA59" s="64">
        <v>15</v>
      </c>
      <c r="AB59" s="45">
        <v>15</v>
      </c>
      <c r="AC59" s="45">
        <v>15</v>
      </c>
      <c r="AD59" s="45">
        <v>15</v>
      </c>
      <c r="AE59" s="45">
        <v>15</v>
      </c>
      <c r="AF59" s="45">
        <v>15</v>
      </c>
      <c r="AG59" s="54">
        <v>30</v>
      </c>
      <c r="AH59" s="47">
        <f t="shared" si="2"/>
        <v>25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1.3</v>
      </c>
      <c r="K60" s="64">
        <v>0</v>
      </c>
      <c r="L60" s="64">
        <v>0</v>
      </c>
      <c r="M60" s="64">
        <v>12.7</v>
      </c>
      <c r="N60" s="64">
        <v>12.7</v>
      </c>
      <c r="O60" s="64">
        <v>12.7</v>
      </c>
      <c r="P60" s="64">
        <v>12.7</v>
      </c>
      <c r="Q60" s="64">
        <v>12.7</v>
      </c>
      <c r="R60" s="64">
        <v>18.3</v>
      </c>
      <c r="S60" s="64">
        <v>11</v>
      </c>
      <c r="T60" s="64">
        <v>8</v>
      </c>
      <c r="U60" s="64">
        <v>3.2</v>
      </c>
      <c r="V60" s="64">
        <v>0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18.3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12</v>
      </c>
      <c r="C61" s="64">
        <v>12</v>
      </c>
      <c r="D61" s="64">
        <v>12</v>
      </c>
      <c r="E61" s="64">
        <v>12</v>
      </c>
      <c r="F61" s="64">
        <v>12</v>
      </c>
      <c r="G61" s="64">
        <v>12</v>
      </c>
      <c r="H61" s="64">
        <v>12</v>
      </c>
      <c r="I61" s="64">
        <v>12</v>
      </c>
      <c r="J61" s="64">
        <v>12</v>
      </c>
      <c r="K61" s="64">
        <v>12</v>
      </c>
      <c r="L61" s="64">
        <v>12</v>
      </c>
      <c r="M61" s="64">
        <v>12</v>
      </c>
      <c r="N61" s="64">
        <v>12</v>
      </c>
      <c r="O61" s="64">
        <v>12</v>
      </c>
      <c r="P61" s="64">
        <v>12</v>
      </c>
      <c r="Q61" s="64">
        <v>12</v>
      </c>
      <c r="R61" s="64">
        <v>12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12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5.2</v>
      </c>
      <c r="R62" s="64">
        <v>5.2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5.2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12.1</v>
      </c>
      <c r="C63" s="64">
        <v>12.1</v>
      </c>
      <c r="D63" s="64">
        <v>12.1</v>
      </c>
      <c r="E63" s="64">
        <v>12.1</v>
      </c>
      <c r="F63" s="64">
        <v>12.1</v>
      </c>
      <c r="G63" s="64">
        <v>12.1</v>
      </c>
      <c r="H63" s="64">
        <v>12.1</v>
      </c>
      <c r="I63" s="64">
        <v>12.1</v>
      </c>
      <c r="J63" s="64">
        <v>12.1</v>
      </c>
      <c r="K63" s="64">
        <v>12.1</v>
      </c>
      <c r="L63" s="64">
        <v>12.1</v>
      </c>
      <c r="M63" s="64">
        <v>12.1</v>
      </c>
      <c r="N63" s="64">
        <v>12.1</v>
      </c>
      <c r="O63" s="64">
        <v>12.1</v>
      </c>
      <c r="P63" s="64">
        <v>12.1</v>
      </c>
      <c r="Q63" s="64">
        <v>12.1</v>
      </c>
      <c r="R63" s="64">
        <v>12.1</v>
      </c>
      <c r="S63" s="64">
        <v>12.1</v>
      </c>
      <c r="T63" s="64">
        <v>12.1</v>
      </c>
      <c r="U63" s="64">
        <v>10.6</v>
      </c>
      <c r="V63" s="64">
        <v>10.6</v>
      </c>
      <c r="W63" s="64">
        <v>10.6</v>
      </c>
      <c r="X63" s="64">
        <v>11.9</v>
      </c>
      <c r="Y63" s="64">
        <v>11.4</v>
      </c>
      <c r="Z63" s="64">
        <v>11.4</v>
      </c>
      <c r="AA63" s="64">
        <v>11.4</v>
      </c>
      <c r="AB63" s="64">
        <v>11.4</v>
      </c>
      <c r="AC63" s="64">
        <v>11.4</v>
      </c>
      <c r="AD63" s="64">
        <v>11.4</v>
      </c>
      <c r="AE63" s="64">
        <v>11.4</v>
      </c>
      <c r="AF63" s="64">
        <v>11.4</v>
      </c>
      <c r="AG63" s="54">
        <v>14.1</v>
      </c>
      <c r="AH63" s="47">
        <f t="shared" si="2"/>
        <v>12.1</v>
      </c>
      <c r="AI63" s="48">
        <f t="shared" si="3"/>
        <v>10.6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7.1</v>
      </c>
      <c r="C64" s="64">
        <v>7.1</v>
      </c>
      <c r="D64" s="64">
        <v>7.1</v>
      </c>
      <c r="E64" s="64">
        <v>7.1</v>
      </c>
      <c r="F64" s="64">
        <v>7.1</v>
      </c>
      <c r="G64" s="64">
        <v>7.1</v>
      </c>
      <c r="H64" s="64">
        <v>10</v>
      </c>
      <c r="I64" s="64">
        <v>10</v>
      </c>
      <c r="J64" s="64">
        <v>10</v>
      </c>
      <c r="K64" s="64">
        <v>10</v>
      </c>
      <c r="L64" s="64">
        <v>10</v>
      </c>
      <c r="M64" s="64">
        <v>14</v>
      </c>
      <c r="N64" s="64">
        <v>14</v>
      </c>
      <c r="O64" s="64">
        <v>14</v>
      </c>
      <c r="P64" s="64">
        <v>14</v>
      </c>
      <c r="Q64" s="64">
        <v>14</v>
      </c>
      <c r="R64" s="64">
        <v>14</v>
      </c>
      <c r="S64" s="64">
        <v>14</v>
      </c>
      <c r="T64" s="64">
        <v>14</v>
      </c>
      <c r="U64" s="64">
        <v>10</v>
      </c>
      <c r="V64" s="64">
        <v>13.8</v>
      </c>
      <c r="W64" s="64">
        <v>13.8</v>
      </c>
      <c r="X64" s="64">
        <v>14</v>
      </c>
      <c r="Y64" s="64">
        <v>13.9</v>
      </c>
      <c r="Z64" s="64">
        <v>13.9</v>
      </c>
      <c r="AA64" s="64">
        <v>13.9</v>
      </c>
      <c r="AB64" s="64">
        <v>13.9</v>
      </c>
      <c r="AC64" s="64">
        <v>13.9</v>
      </c>
      <c r="AD64" s="64">
        <v>13.9</v>
      </c>
      <c r="AE64" s="64">
        <v>13.9</v>
      </c>
      <c r="AF64" s="64">
        <v>13.9</v>
      </c>
      <c r="AG64" s="54">
        <v>14</v>
      </c>
      <c r="AH64" s="47">
        <f t="shared" si="2"/>
        <v>14</v>
      </c>
      <c r="AI64" s="48">
        <f t="shared" si="3"/>
        <v>7.1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420.34000000000003</v>
      </c>
      <c r="C68" s="60">
        <v>420.34000000000003</v>
      </c>
      <c r="D68" s="60">
        <v>420.34000000000003</v>
      </c>
      <c r="E68" s="60">
        <v>420.34000000000003</v>
      </c>
      <c r="F68" s="60">
        <v>420.34000000000003</v>
      </c>
      <c r="G68" s="60">
        <v>420.34000000000003</v>
      </c>
      <c r="H68" s="60">
        <v>420.34000000000003</v>
      </c>
      <c r="I68" s="60">
        <f t="shared" ref="I68:AG68" si="6">SUM(I55:I67)</f>
        <v>393.84000000000003</v>
      </c>
      <c r="J68" s="60">
        <f t="shared" si="6"/>
        <v>395.14000000000004</v>
      </c>
      <c r="K68" s="60">
        <f t="shared" si="6"/>
        <v>393.84000000000003</v>
      </c>
      <c r="L68" s="60">
        <f t="shared" si="6"/>
        <v>393.84000000000003</v>
      </c>
      <c r="M68" s="60">
        <f t="shared" si="6"/>
        <v>414.14000000000004</v>
      </c>
      <c r="N68" s="60">
        <f t="shared" si="6"/>
        <v>399.14000000000004</v>
      </c>
      <c r="O68" s="60">
        <f t="shared" si="6"/>
        <v>399.14000000000004</v>
      </c>
      <c r="P68" s="60">
        <f t="shared" si="6"/>
        <v>415.54</v>
      </c>
      <c r="Q68" s="60">
        <f t="shared" si="6"/>
        <v>430.54</v>
      </c>
      <c r="R68" s="60">
        <f t="shared" si="6"/>
        <v>438.64000000000004</v>
      </c>
      <c r="S68" s="60">
        <f t="shared" si="6"/>
        <v>435.34000000000003</v>
      </c>
      <c r="T68" s="60">
        <f t="shared" si="6"/>
        <v>432.34000000000003</v>
      </c>
      <c r="U68" s="60">
        <f t="shared" si="6"/>
        <v>374.34</v>
      </c>
      <c r="V68" s="60">
        <f t="shared" si="6"/>
        <v>377.04</v>
      </c>
      <c r="W68" s="60">
        <f t="shared" si="6"/>
        <v>369.14</v>
      </c>
      <c r="X68" s="60">
        <f t="shared" si="6"/>
        <v>420.73999999999995</v>
      </c>
      <c r="Y68" s="60">
        <f t="shared" si="6"/>
        <v>423.93999999999994</v>
      </c>
      <c r="Z68" s="60">
        <f t="shared" si="6"/>
        <v>421.63999999999993</v>
      </c>
      <c r="AA68" s="60">
        <f t="shared" si="6"/>
        <v>421.63999999999993</v>
      </c>
      <c r="AB68" s="60">
        <f t="shared" si="6"/>
        <v>422.03999999999996</v>
      </c>
      <c r="AC68" s="60">
        <f t="shared" si="6"/>
        <v>422.03999999999996</v>
      </c>
      <c r="AD68" s="60">
        <f t="shared" si="6"/>
        <v>422.03999999999996</v>
      </c>
      <c r="AE68" s="60">
        <f t="shared" si="6"/>
        <v>422.03999999999996</v>
      </c>
      <c r="AF68" s="60">
        <f t="shared" si="6"/>
        <v>422.03999999999996</v>
      </c>
      <c r="AG68" s="61">
        <f t="shared" si="6"/>
        <v>489.91</v>
      </c>
      <c r="AH68" s="47">
        <f t="shared" si="2"/>
        <v>438.64000000000004</v>
      </c>
      <c r="AI68" s="48">
        <f t="shared" si="3"/>
        <v>369.14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/>
      <c r="M69" s="45">
        <v>13.6</v>
      </c>
      <c r="N69" s="45">
        <v>13.6</v>
      </c>
      <c r="O69" s="45">
        <v>14</v>
      </c>
      <c r="P69" s="45">
        <v>20.399999999999999</v>
      </c>
      <c r="Q69" s="45">
        <v>20.399999999999999</v>
      </c>
      <c r="R69" s="45">
        <v>13.7</v>
      </c>
      <c r="S69" s="45">
        <v>25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/>
      <c r="AD69" s="45"/>
      <c r="AE69" s="45"/>
      <c r="AF69" s="45"/>
      <c r="AG69" s="51">
        <v>60</v>
      </c>
      <c r="AH69" s="47">
        <f t="shared" si="2"/>
        <v>25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64"/>
      <c r="M70" s="64">
        <v>5.9</v>
      </c>
      <c r="N70" s="64">
        <v>5.9</v>
      </c>
      <c r="O70" s="64">
        <v>6.2</v>
      </c>
      <c r="P70" s="64">
        <v>9</v>
      </c>
      <c r="Q70" s="64">
        <v>9</v>
      </c>
      <c r="R70" s="64">
        <v>5.2</v>
      </c>
      <c r="S70" s="64">
        <v>10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0</v>
      </c>
      <c r="AA70" s="64">
        <v>0</v>
      </c>
      <c r="AB70" s="64">
        <v>0</v>
      </c>
      <c r="AC70" s="64"/>
      <c r="AD70" s="64"/>
      <c r="AE70" s="64"/>
      <c r="AF70" s="64"/>
      <c r="AG70" s="54">
        <v>32</v>
      </c>
      <c r="AH70" s="47">
        <f t="shared" si="2"/>
        <v>10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66"/>
      <c r="M71" s="66">
        <v>2.2000000000000002</v>
      </c>
      <c r="N71" s="66">
        <v>2.2000000000000002</v>
      </c>
      <c r="O71" s="66">
        <v>2.2999999999999998</v>
      </c>
      <c r="P71" s="66">
        <v>3.3</v>
      </c>
      <c r="Q71" s="66">
        <v>3.3</v>
      </c>
      <c r="R71" s="66">
        <v>1.9</v>
      </c>
      <c r="S71" s="66">
        <v>4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0</v>
      </c>
      <c r="AA71" s="66">
        <v>0</v>
      </c>
      <c r="AB71" s="66">
        <v>0</v>
      </c>
      <c r="AC71" s="66"/>
      <c r="AD71" s="66"/>
      <c r="AE71" s="66"/>
      <c r="AF71" s="66"/>
      <c r="AG71" s="67">
        <v>14</v>
      </c>
      <c r="AH71" s="47">
        <f t="shared" si="2"/>
        <v>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21.7</v>
      </c>
      <c r="N72" s="60">
        <f t="shared" si="7"/>
        <v>21.7</v>
      </c>
      <c r="O72" s="60">
        <f t="shared" si="7"/>
        <v>22.5</v>
      </c>
      <c r="P72" s="60">
        <f t="shared" si="7"/>
        <v>32.699999999999996</v>
      </c>
      <c r="Q72" s="60">
        <f t="shared" si="7"/>
        <v>32.699999999999996</v>
      </c>
      <c r="R72" s="60">
        <f t="shared" si="7"/>
        <v>20.799999999999997</v>
      </c>
      <c r="S72" s="60">
        <f t="shared" si="7"/>
        <v>39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39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-34</v>
      </c>
      <c r="C73" s="45">
        <v>-26</v>
      </c>
      <c r="D73" s="45">
        <v>-27</v>
      </c>
      <c r="E73" s="45">
        <v>-31.2</v>
      </c>
      <c r="F73" s="45">
        <v>-33.4</v>
      </c>
      <c r="G73" s="45">
        <v>-9.9</v>
      </c>
      <c r="H73" s="45">
        <v>-14.5</v>
      </c>
      <c r="I73" s="45">
        <v>-18.5</v>
      </c>
      <c r="J73" s="45">
        <v>-23.3</v>
      </c>
      <c r="K73" s="45">
        <v>-51</v>
      </c>
      <c r="L73" s="45">
        <v>-50</v>
      </c>
      <c r="M73" s="45">
        <v>-46</v>
      </c>
      <c r="N73" s="45">
        <v>-39</v>
      </c>
      <c r="O73" s="45">
        <v>-37.5</v>
      </c>
      <c r="P73" s="45">
        <v>-33.799999999999997</v>
      </c>
      <c r="Q73" s="45">
        <v>-40.6</v>
      </c>
      <c r="R73" s="45">
        <v>-47.3</v>
      </c>
      <c r="S73" s="45">
        <v>-45.5</v>
      </c>
      <c r="T73" s="45">
        <v>-46.5</v>
      </c>
      <c r="U73" s="45">
        <v>-44.7</v>
      </c>
      <c r="V73" s="45">
        <v>-46.3</v>
      </c>
      <c r="W73" s="45">
        <v>-43.3</v>
      </c>
      <c r="X73" s="45">
        <v>-42.9</v>
      </c>
      <c r="Y73" s="45">
        <v>-39.9</v>
      </c>
      <c r="Z73" s="45">
        <v>-25</v>
      </c>
      <c r="AA73" s="45">
        <v>-22.3</v>
      </c>
      <c r="AB73" s="45">
        <v>-27.4</v>
      </c>
      <c r="AC73" s="45">
        <v>6.3</v>
      </c>
      <c r="AD73" s="45">
        <v>-6</v>
      </c>
      <c r="AE73" s="45">
        <v>-36.9</v>
      </c>
      <c r="AF73" s="45">
        <v>-48</v>
      </c>
      <c r="AG73" s="51"/>
      <c r="AH73" s="47">
        <f t="shared" si="2"/>
        <v>6.3</v>
      </c>
      <c r="AI73" s="48">
        <f t="shared" si="3"/>
        <v>-51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 t="s">
        <v>272</v>
      </c>
      <c r="L74" s="64" t="s">
        <v>272</v>
      </c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-370</v>
      </c>
      <c r="C75" s="64">
        <v>-378</v>
      </c>
      <c r="D75" s="64">
        <v>-374.4</v>
      </c>
      <c r="E75" s="64">
        <v>-383.4</v>
      </c>
      <c r="F75" s="64">
        <v>-398.6</v>
      </c>
      <c r="G75" s="64">
        <v>-420.5</v>
      </c>
      <c r="H75" s="64">
        <v>-425.4</v>
      </c>
      <c r="I75" s="64">
        <v>-476.2</v>
      </c>
      <c r="J75" s="64">
        <v>-452.3</v>
      </c>
      <c r="K75" s="64">
        <v>-420</v>
      </c>
      <c r="L75" s="64">
        <v>-419</v>
      </c>
      <c r="M75" s="64">
        <v>-422</v>
      </c>
      <c r="N75" s="64">
        <v>-352</v>
      </c>
      <c r="O75" s="64">
        <v>-339</v>
      </c>
      <c r="P75" s="64">
        <v>-297</v>
      </c>
      <c r="Q75" s="64">
        <v>-334</v>
      </c>
      <c r="R75" s="64">
        <v>-325.10000000000002</v>
      </c>
      <c r="S75" s="64">
        <v>-387</v>
      </c>
      <c r="T75" s="64">
        <v>-396.4</v>
      </c>
      <c r="U75" s="64">
        <v>-331.2</v>
      </c>
      <c r="V75" s="64">
        <v>-411.6</v>
      </c>
      <c r="W75" s="64">
        <v>-412</v>
      </c>
      <c r="X75" s="64">
        <v>-381.6</v>
      </c>
      <c r="Y75" s="64">
        <v>-318</v>
      </c>
      <c r="Z75" s="64">
        <v>-317</v>
      </c>
      <c r="AA75" s="64">
        <v>-293.3</v>
      </c>
      <c r="AB75" s="64">
        <v>-319</v>
      </c>
      <c r="AC75" s="64">
        <v>-371</v>
      </c>
      <c r="AD75" s="64">
        <v>-333</v>
      </c>
      <c r="AE75" s="64">
        <v>-322.10000000000002</v>
      </c>
      <c r="AF75" s="64">
        <v>-326</v>
      </c>
      <c r="AG75" s="74"/>
      <c r="AH75" s="47">
        <f t="shared" si="2"/>
        <v>-293.3</v>
      </c>
      <c r="AI75" s="48">
        <f t="shared" si="3"/>
        <v>-476.2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>
        <v>0</v>
      </c>
      <c r="Y76" s="75">
        <v>0</v>
      </c>
      <c r="Z76" s="75">
        <v>0</v>
      </c>
      <c r="AA76" s="75">
        <v>0</v>
      </c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>
        <v>0</v>
      </c>
      <c r="Y77" s="45">
        <v>0</v>
      </c>
      <c r="Z77" s="45">
        <v>0</v>
      </c>
      <c r="AA77" s="45">
        <v>0</v>
      </c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45"/>
      <c r="D78" s="45"/>
      <c r="E78" s="45"/>
      <c r="F78" s="45"/>
      <c r="G78" s="45"/>
      <c r="H78" s="45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>
        <v>0</v>
      </c>
      <c r="Y78" s="76">
        <v>0</v>
      </c>
      <c r="Z78" s="76">
        <v>0</v>
      </c>
      <c r="AA78" s="76">
        <v>0</v>
      </c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45"/>
      <c r="D79" s="45"/>
      <c r="E79" s="45"/>
      <c r="F79" s="45"/>
      <c r="G79" s="45"/>
      <c r="H79" s="45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>
        <v>0</v>
      </c>
      <c r="Y79" s="76">
        <v>0</v>
      </c>
      <c r="Z79" s="76">
        <v>0</v>
      </c>
      <c r="AA79" s="76">
        <v>0</v>
      </c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45"/>
      <c r="D80" s="45"/>
      <c r="E80" s="45"/>
      <c r="F80" s="45"/>
      <c r="G80" s="45"/>
      <c r="H80" s="45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>
        <v>0</v>
      </c>
      <c r="Y80" s="76">
        <v>0</v>
      </c>
      <c r="Z80" s="76">
        <v>0</v>
      </c>
      <c r="AA80" s="76">
        <v>0</v>
      </c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45"/>
      <c r="D81" s="45"/>
      <c r="E81" s="45"/>
      <c r="F81" s="45"/>
      <c r="G81" s="45"/>
      <c r="H81" s="45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>
        <v>0</v>
      </c>
      <c r="Y81" s="76">
        <v>0</v>
      </c>
      <c r="Z81" s="76">
        <v>0</v>
      </c>
      <c r="AA81" s="76">
        <v>0</v>
      </c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45"/>
      <c r="D82" s="45"/>
      <c r="E82" s="45"/>
      <c r="F82" s="45"/>
      <c r="G82" s="45"/>
      <c r="H82" s="45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>
        <v>0</v>
      </c>
      <c r="Y82" s="76">
        <v>0</v>
      </c>
      <c r="Z82" s="76">
        <v>0</v>
      </c>
      <c r="AA82" s="76">
        <v>0</v>
      </c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45"/>
      <c r="D83" s="45"/>
      <c r="E83" s="45"/>
      <c r="F83" s="45"/>
      <c r="G83" s="45"/>
      <c r="H83" s="45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>
        <v>0</v>
      </c>
      <c r="Y83" s="76">
        <v>0</v>
      </c>
      <c r="Z83" s="76">
        <v>0</v>
      </c>
      <c r="AA83" s="76">
        <v>0</v>
      </c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0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60">
        <v>0</v>
      </c>
      <c r="I84" s="60">
        <f t="shared" ref="I84:AF84" si="10">SUMIF(I73:I83,"&gt;0")</f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 t="shared" si="10"/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 t="shared" si="10"/>
        <v>0</v>
      </c>
      <c r="AB84" s="60"/>
      <c r="AC84" s="60">
        <f t="shared" si="10"/>
        <v>6.3</v>
      </c>
      <c r="AD84" s="60">
        <f t="shared" si="10"/>
        <v>0</v>
      </c>
      <c r="AE84" s="60">
        <f t="shared" si="10"/>
        <v>0</v>
      </c>
      <c r="AF84" s="60">
        <f t="shared" si="10"/>
        <v>0</v>
      </c>
      <c r="AG84" s="87">
        <f>SUM(AG73:AG83)</f>
        <v>0</v>
      </c>
      <c r="AH84" s="47">
        <f t="shared" si="8"/>
        <v>6.3</v>
      </c>
      <c r="AI84" s="48">
        <f t="shared" si="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v>2040.8400000000001</v>
      </c>
      <c r="C89" s="94">
        <v>2040.8400000000001</v>
      </c>
      <c r="D89" s="94">
        <v>2040.8400000000001</v>
      </c>
      <c r="E89" s="94">
        <v>2040.8400000000001</v>
      </c>
      <c r="F89" s="94">
        <v>2040.8400000000001</v>
      </c>
      <c r="G89" s="94">
        <v>2040.8400000000001</v>
      </c>
      <c r="H89" s="94">
        <v>2040.8400000000001</v>
      </c>
      <c r="I89" s="94">
        <f t="shared" ref="I89:AG89" si="11">I50+I54+I72+I68+I84+I88</f>
        <v>2014.3400000000001</v>
      </c>
      <c r="J89" s="94">
        <f t="shared" si="11"/>
        <v>2015.64</v>
      </c>
      <c r="K89" s="94">
        <f t="shared" si="11"/>
        <v>2014.3400000000001</v>
      </c>
      <c r="L89" s="94">
        <f t="shared" si="11"/>
        <v>2014.3400000000001</v>
      </c>
      <c r="M89" s="94">
        <f t="shared" si="11"/>
        <v>2053.04</v>
      </c>
      <c r="N89" s="94">
        <f t="shared" si="11"/>
        <v>2078.7400000000002</v>
      </c>
      <c r="O89" s="94">
        <f t="shared" si="11"/>
        <v>2079.54</v>
      </c>
      <c r="P89" s="94">
        <f t="shared" si="11"/>
        <v>2114.1400000000003</v>
      </c>
      <c r="Q89" s="94">
        <f t="shared" si="11"/>
        <v>2138.0400000000004</v>
      </c>
      <c r="R89" s="94">
        <f t="shared" si="11"/>
        <v>2110.14</v>
      </c>
      <c r="S89" s="94">
        <f t="shared" si="11"/>
        <v>2142.84</v>
      </c>
      <c r="T89" s="94">
        <f t="shared" si="11"/>
        <v>2100.84</v>
      </c>
      <c r="U89" s="94">
        <f t="shared" si="11"/>
        <v>1955.74</v>
      </c>
      <c r="V89" s="94">
        <f t="shared" si="11"/>
        <v>1959.6399999999999</v>
      </c>
      <c r="W89" s="94">
        <f t="shared" si="11"/>
        <v>1947.04</v>
      </c>
      <c r="X89" s="94">
        <f t="shared" si="11"/>
        <v>2007.5400000000002</v>
      </c>
      <c r="Y89" s="94">
        <f t="shared" si="11"/>
        <v>2085.94</v>
      </c>
      <c r="Z89" s="94">
        <f t="shared" si="11"/>
        <v>2120.14</v>
      </c>
      <c r="AA89" s="94">
        <f t="shared" si="11"/>
        <v>2059.3399999999997</v>
      </c>
      <c r="AB89" s="94">
        <f t="shared" si="11"/>
        <v>2078.54</v>
      </c>
      <c r="AC89" s="94">
        <f t="shared" si="11"/>
        <v>2065.0300000000002</v>
      </c>
      <c r="AD89" s="94">
        <f t="shared" si="11"/>
        <v>2039.23</v>
      </c>
      <c r="AE89" s="94">
        <f t="shared" si="11"/>
        <v>2039.23</v>
      </c>
      <c r="AF89" s="94">
        <f t="shared" si="11"/>
        <v>2039.23</v>
      </c>
      <c r="AG89" s="61">
        <f t="shared" si="11"/>
        <v>2111.5500000000002</v>
      </c>
      <c r="AH89" s="47">
        <f t="shared" si="8"/>
        <v>2142.84</v>
      </c>
      <c r="AI89" s="48">
        <f t="shared" si="9"/>
        <v>1947.04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v>2040.8400000000001</v>
      </c>
      <c r="C91" s="94">
        <v>2040.8400000000001</v>
      </c>
      <c r="D91" s="94">
        <v>2040.8400000000001</v>
      </c>
      <c r="E91" s="94">
        <v>2040.8400000000001</v>
      </c>
      <c r="F91" s="94">
        <v>2040.8400000000001</v>
      </c>
      <c r="G91" s="94">
        <v>2040.8400000000001</v>
      </c>
      <c r="H91" s="94">
        <v>2040.8400000000001</v>
      </c>
      <c r="I91" s="94">
        <f t="shared" ref="I91:AF91" si="12">I89+I90</f>
        <v>2014.3400000000001</v>
      </c>
      <c r="J91" s="94">
        <f t="shared" si="12"/>
        <v>2015.64</v>
      </c>
      <c r="K91" s="94">
        <f t="shared" si="12"/>
        <v>2014.3400000000001</v>
      </c>
      <c r="L91" s="94">
        <f t="shared" si="12"/>
        <v>2014.3400000000001</v>
      </c>
      <c r="M91" s="94">
        <f t="shared" si="12"/>
        <v>2053.04</v>
      </c>
      <c r="N91" s="94">
        <f t="shared" si="12"/>
        <v>2078.7400000000002</v>
      </c>
      <c r="O91" s="94">
        <f t="shared" si="12"/>
        <v>2079.54</v>
      </c>
      <c r="P91" s="94">
        <f t="shared" si="12"/>
        <v>2114.1400000000003</v>
      </c>
      <c r="Q91" s="94">
        <f t="shared" si="12"/>
        <v>2138.0400000000004</v>
      </c>
      <c r="R91" s="94">
        <f t="shared" si="12"/>
        <v>2110.14</v>
      </c>
      <c r="S91" s="94">
        <f t="shared" si="12"/>
        <v>2142.84</v>
      </c>
      <c r="T91" s="94">
        <f t="shared" si="12"/>
        <v>2100.84</v>
      </c>
      <c r="U91" s="94">
        <f t="shared" si="12"/>
        <v>1955.74</v>
      </c>
      <c r="V91" s="94">
        <f t="shared" si="12"/>
        <v>1959.6399999999999</v>
      </c>
      <c r="W91" s="94">
        <f t="shared" si="12"/>
        <v>1947.04</v>
      </c>
      <c r="X91" s="94">
        <f t="shared" si="12"/>
        <v>2007.5400000000002</v>
      </c>
      <c r="Y91" s="94">
        <f t="shared" si="12"/>
        <v>2085.94</v>
      </c>
      <c r="Z91" s="94">
        <f t="shared" si="12"/>
        <v>2120.14</v>
      </c>
      <c r="AA91" s="94">
        <f t="shared" si="12"/>
        <v>2059.3399999999997</v>
      </c>
      <c r="AB91" s="94">
        <f t="shared" si="12"/>
        <v>2078.54</v>
      </c>
      <c r="AC91" s="94">
        <f t="shared" si="12"/>
        <v>2065.0300000000002</v>
      </c>
      <c r="AD91" s="94">
        <f t="shared" si="12"/>
        <v>2039.23</v>
      </c>
      <c r="AE91" s="94">
        <f t="shared" si="12"/>
        <v>2039.23</v>
      </c>
      <c r="AF91" s="94">
        <f t="shared" si="12"/>
        <v>2039.23</v>
      </c>
      <c r="AG91" s="87">
        <f>AG88+AG84+AG72+AG68+AG50+AG90</f>
        <v>1573.45</v>
      </c>
      <c r="AH91" s="47">
        <f t="shared" si="8"/>
        <v>2142.84</v>
      </c>
      <c r="AI91" s="48">
        <f t="shared" si="9"/>
        <v>1947.04</v>
      </c>
    </row>
    <row r="92" spans="1:40" ht="15.75" thickBot="1" x14ac:dyDescent="0.3">
      <c r="A92" s="73" t="s">
        <v>103</v>
      </c>
      <c r="B92" s="94">
        <v>1708.8400000000001</v>
      </c>
      <c r="C92" s="94">
        <v>1708.8400000000001</v>
      </c>
      <c r="D92" s="94">
        <v>1708.8400000000001</v>
      </c>
      <c r="E92" s="94">
        <v>1708.8400000000001</v>
      </c>
      <c r="F92" s="94">
        <v>1708.8400000000001</v>
      </c>
      <c r="G92" s="94">
        <v>1708.8400000000001</v>
      </c>
      <c r="H92" s="94">
        <v>1708.8400000000001</v>
      </c>
      <c r="I92" s="94">
        <f t="shared" ref="I92:AF92" si="13">I91-(-I99)</f>
        <v>1538.14</v>
      </c>
      <c r="J92" s="94">
        <f t="shared" si="13"/>
        <v>1563.3400000000001</v>
      </c>
      <c r="K92" s="94">
        <f t="shared" si="13"/>
        <v>1594.3400000000001</v>
      </c>
      <c r="L92" s="94">
        <f t="shared" si="13"/>
        <v>1595.3400000000001</v>
      </c>
      <c r="M92" s="94">
        <f t="shared" si="13"/>
        <v>1631.04</v>
      </c>
      <c r="N92" s="94">
        <f t="shared" si="13"/>
        <v>1726.7400000000002</v>
      </c>
      <c r="O92" s="94">
        <f t="shared" si="13"/>
        <v>1740.54</v>
      </c>
      <c r="P92" s="94">
        <f t="shared" si="13"/>
        <v>1817.1400000000003</v>
      </c>
      <c r="Q92" s="94">
        <f t="shared" si="13"/>
        <v>1804.0400000000004</v>
      </c>
      <c r="R92" s="94">
        <f t="shared" si="13"/>
        <v>1785.04</v>
      </c>
      <c r="S92" s="94">
        <f t="shared" si="13"/>
        <v>1755.8400000000001</v>
      </c>
      <c r="T92" s="94">
        <f t="shared" si="13"/>
        <v>1704.44</v>
      </c>
      <c r="U92" s="94">
        <f t="shared" si="13"/>
        <v>1624.54</v>
      </c>
      <c r="V92" s="94">
        <f t="shared" si="13"/>
        <v>1548.04</v>
      </c>
      <c r="W92" s="94">
        <f t="shared" si="13"/>
        <v>1535.04</v>
      </c>
      <c r="X92" s="94">
        <f t="shared" si="13"/>
        <v>1625.94</v>
      </c>
      <c r="Y92" s="94">
        <f t="shared" si="13"/>
        <v>1767.94</v>
      </c>
      <c r="Z92" s="94">
        <f t="shared" si="13"/>
        <v>1803.1399999999999</v>
      </c>
      <c r="AA92" s="94">
        <f t="shared" si="13"/>
        <v>1766.0399999999997</v>
      </c>
      <c r="AB92" s="94">
        <f t="shared" si="13"/>
        <v>1759.54</v>
      </c>
      <c r="AC92" s="94">
        <f t="shared" si="13"/>
        <v>1694.0300000000002</v>
      </c>
      <c r="AD92" s="94">
        <f t="shared" si="13"/>
        <v>1706.23</v>
      </c>
      <c r="AE92" s="94">
        <f t="shared" si="13"/>
        <v>1717.13</v>
      </c>
      <c r="AF92" s="94">
        <f t="shared" si="13"/>
        <v>1713.23</v>
      </c>
      <c r="AG92" s="87"/>
      <c r="AH92" s="47">
        <f t="shared" si="8"/>
        <v>1817.1400000000003</v>
      </c>
      <c r="AI92" s="48">
        <f t="shared" si="9"/>
        <v>1535.04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v>-332</v>
      </c>
      <c r="C99" s="60">
        <v>-332</v>
      </c>
      <c r="D99" s="60">
        <v>-332</v>
      </c>
      <c r="E99" s="60">
        <v>-332</v>
      </c>
      <c r="F99" s="60">
        <v>-332</v>
      </c>
      <c r="G99" s="60">
        <v>-332</v>
      </c>
      <c r="H99" s="60">
        <v>-332</v>
      </c>
      <c r="I99" s="60">
        <f t="shared" ref="I99:AF99" si="14">I75</f>
        <v>-476.2</v>
      </c>
      <c r="J99" s="60">
        <f t="shared" si="14"/>
        <v>-452.3</v>
      </c>
      <c r="K99" s="60">
        <f t="shared" si="14"/>
        <v>-420</v>
      </c>
      <c r="L99" s="60">
        <f t="shared" si="14"/>
        <v>-419</v>
      </c>
      <c r="M99" s="60">
        <f t="shared" si="14"/>
        <v>-422</v>
      </c>
      <c r="N99" s="60">
        <f t="shared" si="14"/>
        <v>-352</v>
      </c>
      <c r="O99" s="60">
        <f t="shared" si="14"/>
        <v>-339</v>
      </c>
      <c r="P99" s="60">
        <f t="shared" si="14"/>
        <v>-297</v>
      </c>
      <c r="Q99" s="60">
        <f t="shared" si="14"/>
        <v>-334</v>
      </c>
      <c r="R99" s="60">
        <f t="shared" si="14"/>
        <v>-325.10000000000002</v>
      </c>
      <c r="S99" s="60">
        <f t="shared" si="14"/>
        <v>-387</v>
      </c>
      <c r="T99" s="60">
        <f t="shared" si="14"/>
        <v>-396.4</v>
      </c>
      <c r="U99" s="60">
        <f t="shared" si="14"/>
        <v>-331.2</v>
      </c>
      <c r="V99" s="60">
        <f t="shared" si="14"/>
        <v>-411.6</v>
      </c>
      <c r="W99" s="60">
        <f t="shared" si="14"/>
        <v>-412</v>
      </c>
      <c r="X99" s="60">
        <f t="shared" si="14"/>
        <v>-381.6</v>
      </c>
      <c r="Y99" s="60">
        <f t="shared" si="14"/>
        <v>-318</v>
      </c>
      <c r="Z99" s="60">
        <f t="shared" si="14"/>
        <v>-317</v>
      </c>
      <c r="AA99" s="60">
        <f t="shared" si="14"/>
        <v>-293.3</v>
      </c>
      <c r="AB99" s="60">
        <f t="shared" si="14"/>
        <v>-319</v>
      </c>
      <c r="AC99" s="60">
        <f t="shared" si="14"/>
        <v>-371</v>
      </c>
      <c r="AD99" s="60">
        <f t="shared" si="14"/>
        <v>-333</v>
      </c>
      <c r="AE99" s="60">
        <f t="shared" si="14"/>
        <v>-322.10000000000002</v>
      </c>
      <c r="AF99" s="60">
        <f t="shared" si="14"/>
        <v>-326</v>
      </c>
      <c r="AG99" s="87"/>
      <c r="AH99" s="47">
        <f t="shared" si="8"/>
        <v>-293.3</v>
      </c>
      <c r="AI99" s="48">
        <f t="shared" si="9"/>
        <v>-476.2</v>
      </c>
      <c r="AK99" s="50"/>
    </row>
    <row r="100" spans="1:37" ht="15.75" thickBot="1" x14ac:dyDescent="0.3">
      <c r="A100" s="73" t="s">
        <v>108</v>
      </c>
      <c r="B100" s="60">
        <v>332</v>
      </c>
      <c r="C100" s="60">
        <v>332</v>
      </c>
      <c r="D100" s="60">
        <v>332</v>
      </c>
      <c r="E100" s="60">
        <v>332</v>
      </c>
      <c r="F100" s="60">
        <v>332</v>
      </c>
      <c r="G100" s="60">
        <v>332</v>
      </c>
      <c r="H100" s="60">
        <v>332</v>
      </c>
      <c r="I100" s="60">
        <f t="shared" ref="I100:AF100" si="15">I84-I99</f>
        <v>476.2</v>
      </c>
      <c r="J100" s="60">
        <f t="shared" si="15"/>
        <v>452.3</v>
      </c>
      <c r="K100" s="60">
        <f t="shared" si="15"/>
        <v>420</v>
      </c>
      <c r="L100" s="60">
        <f t="shared" si="15"/>
        <v>419</v>
      </c>
      <c r="M100" s="60">
        <f t="shared" si="15"/>
        <v>422</v>
      </c>
      <c r="N100" s="60">
        <f t="shared" si="15"/>
        <v>352</v>
      </c>
      <c r="O100" s="60">
        <f t="shared" si="15"/>
        <v>339</v>
      </c>
      <c r="P100" s="60">
        <f t="shared" si="15"/>
        <v>297</v>
      </c>
      <c r="Q100" s="60">
        <f t="shared" si="15"/>
        <v>334</v>
      </c>
      <c r="R100" s="60">
        <f t="shared" si="15"/>
        <v>325.10000000000002</v>
      </c>
      <c r="S100" s="60">
        <f t="shared" si="15"/>
        <v>387</v>
      </c>
      <c r="T100" s="60">
        <f t="shared" si="15"/>
        <v>396.4</v>
      </c>
      <c r="U100" s="60">
        <f t="shared" si="15"/>
        <v>331.2</v>
      </c>
      <c r="V100" s="60">
        <f t="shared" si="15"/>
        <v>411.6</v>
      </c>
      <c r="W100" s="60">
        <f t="shared" si="15"/>
        <v>412</v>
      </c>
      <c r="X100" s="60">
        <f t="shared" si="15"/>
        <v>381.6</v>
      </c>
      <c r="Y100" s="60">
        <f t="shared" si="15"/>
        <v>318</v>
      </c>
      <c r="Z100" s="60">
        <f t="shared" si="15"/>
        <v>317</v>
      </c>
      <c r="AA100" s="60">
        <f t="shared" si="15"/>
        <v>293.3</v>
      </c>
      <c r="AB100" s="60">
        <f t="shared" si="15"/>
        <v>319</v>
      </c>
      <c r="AC100" s="60">
        <f t="shared" si="15"/>
        <v>377.3</v>
      </c>
      <c r="AD100" s="60">
        <f t="shared" si="15"/>
        <v>333</v>
      </c>
      <c r="AE100" s="60">
        <f t="shared" si="15"/>
        <v>322.10000000000002</v>
      </c>
      <c r="AF100" s="60">
        <f t="shared" si="15"/>
        <v>326</v>
      </c>
      <c r="AG100" s="87"/>
      <c r="AH100" s="47">
        <f t="shared" si="8"/>
        <v>476.2</v>
      </c>
      <c r="AI100" s="48">
        <f t="shared" si="9"/>
        <v>293.3</v>
      </c>
    </row>
    <row r="101" spans="1:37" x14ac:dyDescent="0.25">
      <c r="A101" s="99" t="s">
        <v>109</v>
      </c>
      <c r="B101" s="100">
        <v>49.97</v>
      </c>
      <c r="C101" s="100">
        <v>49.97</v>
      </c>
      <c r="D101" s="100">
        <v>49.98</v>
      </c>
      <c r="E101" s="100">
        <v>49.98</v>
      </c>
      <c r="F101" s="100">
        <v>50.05</v>
      </c>
      <c r="G101" s="100">
        <v>49.98</v>
      </c>
      <c r="H101" s="100">
        <v>50.113</v>
      </c>
      <c r="I101" s="100">
        <v>50.09</v>
      </c>
      <c r="J101" s="100">
        <v>50.04</v>
      </c>
      <c r="K101" s="100"/>
      <c r="L101" s="100"/>
      <c r="M101" s="100">
        <v>49.973999999999997</v>
      </c>
      <c r="N101" s="100">
        <v>50.08</v>
      </c>
      <c r="O101" s="100">
        <v>50.139000000000003</v>
      </c>
      <c r="P101" s="100">
        <v>50.018999999999998</v>
      </c>
      <c r="Q101" s="100">
        <v>49.941000000000003</v>
      </c>
      <c r="R101" s="100">
        <v>49.923999999999999</v>
      </c>
      <c r="S101" s="100">
        <v>50.06</v>
      </c>
      <c r="T101" s="100">
        <v>49.99</v>
      </c>
      <c r="U101" s="100">
        <v>49.969000000000001</v>
      </c>
      <c r="V101" s="100">
        <v>49.997999999999998</v>
      </c>
      <c r="W101" s="100">
        <v>50</v>
      </c>
      <c r="X101" s="100">
        <v>49.9</v>
      </c>
      <c r="Y101" s="100">
        <v>50.005000000000003</v>
      </c>
      <c r="Z101" s="100">
        <v>50.024000000000001</v>
      </c>
      <c r="AA101" s="100">
        <v>50.027000000000001</v>
      </c>
      <c r="AB101" s="100">
        <v>49.984999999999999</v>
      </c>
      <c r="AC101" s="100">
        <v>49.832999999999998</v>
      </c>
      <c r="AD101" s="100">
        <v>49.96</v>
      </c>
      <c r="AE101" s="100">
        <v>50.06</v>
      </c>
      <c r="AF101" s="100">
        <v>50.064</v>
      </c>
      <c r="AG101" s="101"/>
      <c r="AH101" s="47">
        <f t="shared" si="8"/>
        <v>50.139000000000003</v>
      </c>
      <c r="AI101" s="48">
        <f t="shared" si="9"/>
        <v>49.832999999999998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128.5</v>
      </c>
      <c r="C103" s="64">
        <v>128.5</v>
      </c>
      <c r="D103" s="64">
        <v>128.80000000000001</v>
      </c>
      <c r="E103" s="64">
        <v>128.80000000000001</v>
      </c>
      <c r="F103" s="64">
        <v>128.80000000000001</v>
      </c>
      <c r="G103" s="64">
        <v>128.80000000000001</v>
      </c>
      <c r="H103" s="64">
        <v>128.80000000000001</v>
      </c>
      <c r="I103" s="64">
        <v>128.80000000000001</v>
      </c>
      <c r="J103" s="64">
        <v>128.80000000000001</v>
      </c>
      <c r="K103" s="64"/>
      <c r="L103" s="64"/>
      <c r="M103" s="64">
        <v>124.7</v>
      </c>
      <c r="N103" s="64">
        <v>124.2</v>
      </c>
      <c r="O103" s="64">
        <v>123.2</v>
      </c>
      <c r="P103" s="64">
        <v>124.5</v>
      </c>
      <c r="Q103" s="64">
        <v>122.6</v>
      </c>
      <c r="R103" s="64">
        <v>124.3</v>
      </c>
      <c r="S103" s="64">
        <v>122</v>
      </c>
      <c r="T103" s="64">
        <v>125.1</v>
      </c>
      <c r="U103" s="64">
        <v>125.5</v>
      </c>
      <c r="V103" s="64">
        <v>126.5</v>
      </c>
      <c r="W103" s="64">
        <v>128.69999999999999</v>
      </c>
      <c r="X103" s="64">
        <v>128.6</v>
      </c>
      <c r="Y103" s="64">
        <v>126.7</v>
      </c>
      <c r="Z103" s="64">
        <v>126.5</v>
      </c>
      <c r="AA103" s="64">
        <v>127.3</v>
      </c>
      <c r="AB103" s="64">
        <v>128</v>
      </c>
      <c r="AC103" s="64">
        <v>127.8</v>
      </c>
      <c r="AD103" s="64">
        <v>128.30000000000001</v>
      </c>
      <c r="AE103" s="64">
        <v>129.30000000000001</v>
      </c>
      <c r="AF103" s="64">
        <v>128</v>
      </c>
      <c r="AG103" s="103"/>
      <c r="AH103" s="47">
        <f t="shared" si="8"/>
        <v>129.30000000000001</v>
      </c>
      <c r="AI103" s="48">
        <f t="shared" si="9"/>
        <v>122</v>
      </c>
    </row>
    <row r="104" spans="1:37" x14ac:dyDescent="0.25">
      <c r="A104" s="102" t="s">
        <v>112</v>
      </c>
      <c r="B104" s="64">
        <v>128.69999999999999</v>
      </c>
      <c r="C104" s="64">
        <v>128.69999999999999</v>
      </c>
      <c r="D104" s="64">
        <v>128.80000000000001</v>
      </c>
      <c r="E104" s="64">
        <v>128.80000000000001</v>
      </c>
      <c r="F104" s="64">
        <v>128.80000000000001</v>
      </c>
      <c r="G104" s="64">
        <v>128.80000000000001</v>
      </c>
      <c r="H104" s="64">
        <v>128.80000000000001</v>
      </c>
      <c r="I104" s="64">
        <v>128.80000000000001</v>
      </c>
      <c r="J104" s="64">
        <v>128.80000000000001</v>
      </c>
      <c r="K104" s="64"/>
      <c r="L104" s="64"/>
      <c r="M104" s="64">
        <v>127.7</v>
      </c>
      <c r="N104" s="64">
        <v>127</v>
      </c>
      <c r="O104" s="64">
        <v>124.5</v>
      </c>
      <c r="P104" s="64">
        <v>128.4</v>
      </c>
      <c r="Q104" s="64">
        <v>129.1</v>
      </c>
      <c r="R104" s="64">
        <v>125.2</v>
      </c>
      <c r="S104" s="64">
        <v>126.5</v>
      </c>
      <c r="T104" s="64">
        <v>127.8</v>
      </c>
      <c r="U104" s="64">
        <v>127.9</v>
      </c>
      <c r="V104" s="64">
        <v>129.19999999999999</v>
      </c>
      <c r="W104" s="64">
        <v>129</v>
      </c>
      <c r="X104" s="64">
        <v>127.8</v>
      </c>
      <c r="Y104" s="64">
        <v>124.6</v>
      </c>
      <c r="Z104" s="64">
        <v>127</v>
      </c>
      <c r="AA104" s="64">
        <v>126.6</v>
      </c>
      <c r="AB104" s="64">
        <v>127.4</v>
      </c>
      <c r="AC104" s="64">
        <v>128</v>
      </c>
      <c r="AD104" s="64">
        <v>127.7</v>
      </c>
      <c r="AE104" s="64">
        <v>127.3</v>
      </c>
      <c r="AF104" s="64">
        <v>129.69999999999999</v>
      </c>
      <c r="AG104" s="103"/>
      <c r="AH104" s="47">
        <f t="shared" si="8"/>
        <v>129.69999999999999</v>
      </c>
      <c r="AI104" s="48">
        <f t="shared" si="9"/>
        <v>124.5</v>
      </c>
    </row>
    <row r="105" spans="1:37" x14ac:dyDescent="0.25">
      <c r="A105" s="104" t="s">
        <v>113</v>
      </c>
      <c r="B105" s="64">
        <v>132</v>
      </c>
      <c r="C105" s="64">
        <v>132</v>
      </c>
      <c r="D105" s="64">
        <v>132.6</v>
      </c>
      <c r="E105" s="64">
        <v>132.6</v>
      </c>
      <c r="F105" s="64">
        <v>132.6</v>
      </c>
      <c r="G105" s="64">
        <v>132.6</v>
      </c>
      <c r="H105" s="64">
        <v>132.6</v>
      </c>
      <c r="I105" s="64">
        <v>132.6</v>
      </c>
      <c r="J105" s="64">
        <v>132.6</v>
      </c>
      <c r="K105" s="64"/>
      <c r="L105" s="64"/>
      <c r="M105" s="64">
        <v>128.4</v>
      </c>
      <c r="N105" s="64">
        <v>128.69999999999999</v>
      </c>
      <c r="O105" s="64">
        <v>126</v>
      </c>
      <c r="P105" s="64">
        <v>129.80000000000001</v>
      </c>
      <c r="Q105" s="64">
        <v>132</v>
      </c>
      <c r="R105" s="64">
        <v>128.6</v>
      </c>
      <c r="S105" s="64">
        <v>129.69999999999999</v>
      </c>
      <c r="T105" s="64">
        <v>130.5</v>
      </c>
      <c r="U105" s="64">
        <v>130.6</v>
      </c>
      <c r="V105" s="64">
        <v>130.80000000000001</v>
      </c>
      <c r="W105" s="64">
        <v>130</v>
      </c>
      <c r="X105" s="64">
        <v>128.9</v>
      </c>
      <c r="Y105" s="64">
        <v>126.3</v>
      </c>
      <c r="Z105" s="64">
        <v>129.9</v>
      </c>
      <c r="AA105" s="64">
        <v>128.69999999999999</v>
      </c>
      <c r="AB105" s="64">
        <v>129.4</v>
      </c>
      <c r="AC105" s="64">
        <v>130.19999999999999</v>
      </c>
      <c r="AD105" s="64">
        <v>129.9</v>
      </c>
      <c r="AE105" s="64">
        <v>130.6</v>
      </c>
      <c r="AF105" s="64">
        <v>133.1</v>
      </c>
      <c r="AG105" s="103"/>
      <c r="AH105" s="47">
        <f t="shared" si="8"/>
        <v>133.1</v>
      </c>
      <c r="AI105" s="48">
        <f t="shared" si="9"/>
        <v>126</v>
      </c>
    </row>
    <row r="106" spans="1:37" x14ac:dyDescent="0.25">
      <c r="A106" s="104" t="s">
        <v>114</v>
      </c>
      <c r="B106" s="105">
        <v>133</v>
      </c>
      <c r="C106" s="105">
        <v>133</v>
      </c>
      <c r="D106" s="105">
        <v>132.80000000000001</v>
      </c>
      <c r="E106" s="105">
        <v>132.80000000000001</v>
      </c>
      <c r="F106" s="105">
        <v>132.80000000000001</v>
      </c>
      <c r="G106" s="105">
        <v>132.80000000000001</v>
      </c>
      <c r="H106" s="105">
        <v>132.80000000000001</v>
      </c>
      <c r="I106" s="105">
        <v>132.80000000000001</v>
      </c>
      <c r="J106" s="105">
        <v>132.80000000000001</v>
      </c>
      <c r="K106" s="105"/>
      <c r="L106" s="105"/>
      <c r="M106" s="105">
        <v>131.6</v>
      </c>
      <c r="N106" s="105">
        <v>130.69999999999999</v>
      </c>
      <c r="O106" s="105">
        <v>129.19999999999999</v>
      </c>
      <c r="P106" s="105">
        <v>131.5</v>
      </c>
      <c r="Q106" s="105">
        <v>130.19999999999999</v>
      </c>
      <c r="R106" s="105">
        <v>130.9</v>
      </c>
      <c r="S106" s="105">
        <v>130.9</v>
      </c>
      <c r="T106" s="105">
        <v>132.69999999999999</v>
      </c>
      <c r="U106" s="105">
        <v>133.5</v>
      </c>
      <c r="V106" s="105">
        <v>131.30000000000001</v>
      </c>
      <c r="W106" s="105">
        <v>133</v>
      </c>
      <c r="X106" s="105">
        <v>132.1</v>
      </c>
      <c r="Y106" s="105">
        <v>132.30000000000001</v>
      </c>
      <c r="Z106" s="105">
        <v>132.69999999999999</v>
      </c>
      <c r="AA106" s="105">
        <v>132.9</v>
      </c>
      <c r="AB106" s="105">
        <v>130.6</v>
      </c>
      <c r="AC106" s="105">
        <v>133.19999999999999</v>
      </c>
      <c r="AD106" s="105">
        <v>134.19999999999999</v>
      </c>
      <c r="AE106" s="105">
        <v>133.69999999999999</v>
      </c>
      <c r="AF106" s="105">
        <v>132.9</v>
      </c>
      <c r="AG106" s="106"/>
      <c r="AH106" s="47">
        <f t="shared" si="8"/>
        <v>134.19999999999999</v>
      </c>
      <c r="AI106" s="48">
        <f t="shared" si="9"/>
        <v>129.19999999999999</v>
      </c>
    </row>
    <row r="107" spans="1:37" x14ac:dyDescent="0.25">
      <c r="A107" s="102" t="s">
        <v>115</v>
      </c>
      <c r="B107" s="64">
        <v>133</v>
      </c>
      <c r="C107" s="64">
        <v>133</v>
      </c>
      <c r="D107" s="64">
        <v>133</v>
      </c>
      <c r="E107" s="64">
        <v>133</v>
      </c>
      <c r="F107" s="64">
        <v>133</v>
      </c>
      <c r="G107" s="64">
        <v>133</v>
      </c>
      <c r="H107" s="64">
        <v>133</v>
      </c>
      <c r="I107" s="64">
        <v>133</v>
      </c>
      <c r="J107" s="64">
        <v>133</v>
      </c>
      <c r="K107" s="64"/>
      <c r="L107" s="64"/>
      <c r="M107" s="64">
        <v>131</v>
      </c>
      <c r="N107" s="64">
        <v>127</v>
      </c>
      <c r="O107" s="64">
        <v>126.5</v>
      </c>
      <c r="P107" s="64">
        <v>128.30000000000001</v>
      </c>
      <c r="Q107" s="64">
        <v>128.30000000000001</v>
      </c>
      <c r="R107" s="64">
        <v>128</v>
      </c>
      <c r="S107" s="64">
        <v>128</v>
      </c>
      <c r="T107" s="64">
        <v>136.6</v>
      </c>
      <c r="U107" s="64">
        <v>136.80000000000001</v>
      </c>
      <c r="V107" s="64">
        <v>133.69999999999999</v>
      </c>
      <c r="W107" s="64">
        <v>135</v>
      </c>
      <c r="X107" s="64">
        <v>132.4</v>
      </c>
      <c r="Y107" s="64">
        <v>134.5</v>
      </c>
      <c r="Z107" s="64">
        <v>136</v>
      </c>
      <c r="AA107" s="64">
        <v>134.6</v>
      </c>
      <c r="AB107" s="64">
        <v>130.4</v>
      </c>
      <c r="AC107" s="64">
        <v>134.9</v>
      </c>
      <c r="AD107" s="64">
        <v>133.30000000000001</v>
      </c>
      <c r="AE107" s="64">
        <v>134.69999999999999</v>
      </c>
      <c r="AF107" s="64">
        <v>128.9</v>
      </c>
      <c r="AG107" s="103"/>
      <c r="AH107" s="47">
        <f t="shared" si="8"/>
        <v>136.80000000000001</v>
      </c>
      <c r="AI107" s="48">
        <f t="shared" si="9"/>
        <v>126.5</v>
      </c>
    </row>
    <row r="108" spans="1:37" ht="15.75" thickBot="1" x14ac:dyDescent="0.3">
      <c r="A108" s="102" t="s">
        <v>116</v>
      </c>
      <c r="B108" s="91">
        <v>64.8</v>
      </c>
      <c r="C108" s="91">
        <v>64.8</v>
      </c>
      <c r="D108" s="91">
        <v>65</v>
      </c>
      <c r="E108" s="91">
        <v>65</v>
      </c>
      <c r="F108" s="91">
        <v>65</v>
      </c>
      <c r="G108" s="91">
        <v>65</v>
      </c>
      <c r="H108" s="91">
        <v>65</v>
      </c>
      <c r="I108" s="91">
        <v>65</v>
      </c>
      <c r="J108" s="91">
        <v>65</v>
      </c>
      <c r="K108" s="91"/>
      <c r="L108" s="91"/>
      <c r="M108" s="91">
        <v>62.9</v>
      </c>
      <c r="N108" s="91">
        <v>62.6</v>
      </c>
      <c r="O108" s="91">
        <v>61.8</v>
      </c>
      <c r="P108" s="91">
        <v>62.6</v>
      </c>
      <c r="Q108" s="91">
        <v>64.5</v>
      </c>
      <c r="R108" s="91">
        <v>62.3</v>
      </c>
      <c r="S108" s="91">
        <v>62.3</v>
      </c>
      <c r="T108" s="91">
        <v>62.6</v>
      </c>
      <c r="U108" s="91">
        <v>63.1</v>
      </c>
      <c r="V108" s="91">
        <v>64</v>
      </c>
      <c r="W108" s="91">
        <v>64.8</v>
      </c>
      <c r="X108" s="91">
        <v>64.599999999999994</v>
      </c>
      <c r="Y108" s="91">
        <v>63.9</v>
      </c>
      <c r="Z108" s="91">
        <v>63.7</v>
      </c>
      <c r="AA108" s="91">
        <v>64</v>
      </c>
      <c r="AB108" s="91">
        <v>64.400000000000006</v>
      </c>
      <c r="AC108" s="91">
        <v>64.3</v>
      </c>
      <c r="AD108" s="91">
        <v>64.599999999999994</v>
      </c>
      <c r="AE108" s="91">
        <v>65.099999999999994</v>
      </c>
      <c r="AF108" s="91">
        <v>64.599999999999994</v>
      </c>
      <c r="AG108" s="107"/>
      <c r="AH108" s="47">
        <f t="shared" si="8"/>
        <v>65.099999999999994</v>
      </c>
      <c r="AI108" s="48">
        <f t="shared" si="9"/>
        <v>61.8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v>77.699999999999989</v>
      </c>
      <c r="C110" s="110">
        <v>77.699999999999989</v>
      </c>
      <c r="D110" s="110">
        <v>77.699999999999989</v>
      </c>
      <c r="E110" s="110">
        <v>77.699999999999989</v>
      </c>
      <c r="F110" s="110">
        <v>77.699999999999989</v>
      </c>
      <c r="G110" s="110">
        <v>77.699999999999989</v>
      </c>
      <c r="H110" s="110">
        <v>77.699999999999989</v>
      </c>
      <c r="I110" s="110">
        <f t="shared" ref="I110:O110" si="16">SUM(I20,I26,I29:I30,I58,I60:I61,I63,I65,I111:I115,I138,I144,I150,I159,I161,I173,I180,I183:I184,I191,I193,I195,I199:I201,I203:I205,I210,I216:I217,I219:I221,I229,I234)</f>
        <v>107.14000000000001</v>
      </c>
      <c r="J110" s="110">
        <f t="shared" si="16"/>
        <v>130.33999999999997</v>
      </c>
      <c r="K110" s="110">
        <f t="shared" si="16"/>
        <v>160.23999999999998</v>
      </c>
      <c r="L110" s="110">
        <f t="shared" si="16"/>
        <v>160.23999999999998</v>
      </c>
      <c r="M110" s="110">
        <f t="shared" si="16"/>
        <v>208.53999999999996</v>
      </c>
      <c r="N110" s="110">
        <f t="shared" si="16"/>
        <v>202.14</v>
      </c>
      <c r="O110" s="110">
        <f t="shared" si="16"/>
        <v>219.13999999999993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225.5</v>
      </c>
      <c r="R110" s="110">
        <f t="shared" si="17"/>
        <v>222.7</v>
      </c>
      <c r="S110" s="110">
        <f t="shared" si="17"/>
        <v>219.40000000000003</v>
      </c>
      <c r="T110" s="110">
        <f t="shared" si="17"/>
        <v>206.00000000000003</v>
      </c>
      <c r="U110" s="110">
        <f t="shared" si="17"/>
        <v>204.3</v>
      </c>
      <c r="V110" s="110">
        <f t="shared" si="17"/>
        <v>193.7</v>
      </c>
      <c r="W110" s="110">
        <f t="shared" si="17"/>
        <v>198.2</v>
      </c>
      <c r="X110" s="110">
        <f t="shared" si="17"/>
        <v>216.7</v>
      </c>
      <c r="Y110" s="110">
        <f t="shared" si="17"/>
        <v>251.6</v>
      </c>
      <c r="Z110" s="110">
        <f t="shared" si="17"/>
        <v>260.10000000000002</v>
      </c>
      <c r="AA110" s="110">
        <f t="shared" si="17"/>
        <v>233.80000000000004</v>
      </c>
      <c r="AB110" s="110">
        <f t="shared" si="17"/>
        <v>196.7</v>
      </c>
      <c r="AC110" s="110">
        <f t="shared" si="17"/>
        <v>189.10000000000002</v>
      </c>
      <c r="AD110" s="110"/>
      <c r="AE110" s="110">
        <f t="shared" si="17"/>
        <v>120.60000000000001</v>
      </c>
      <c r="AF110" s="110">
        <f t="shared" si="17"/>
        <v>77.800000000000011</v>
      </c>
      <c r="AG110" s="111"/>
      <c r="AH110" s="47">
        <f t="shared" si="8"/>
        <v>260.10000000000002</v>
      </c>
      <c r="AI110" s="48">
        <f t="shared" si="9"/>
        <v>42</v>
      </c>
    </row>
    <row r="111" spans="1:37" x14ac:dyDescent="0.25">
      <c r="A111" s="99" t="s">
        <v>119</v>
      </c>
      <c r="B111" s="112">
        <v>27</v>
      </c>
      <c r="C111" s="112">
        <v>27</v>
      </c>
      <c r="D111" s="112">
        <v>27</v>
      </c>
      <c r="E111" s="112">
        <v>21.4</v>
      </c>
      <c r="F111" s="112">
        <v>12.4</v>
      </c>
      <c r="G111" s="112">
        <v>27</v>
      </c>
      <c r="H111" s="112">
        <v>42.6</v>
      </c>
      <c r="I111" s="112">
        <v>53.2</v>
      </c>
      <c r="J111" s="112">
        <v>67.599999999999994</v>
      </c>
      <c r="K111" s="112"/>
      <c r="L111" s="112"/>
      <c r="M111" s="112">
        <v>74</v>
      </c>
      <c r="N111" s="112">
        <v>61.2</v>
      </c>
      <c r="O111" s="112">
        <v>59.1</v>
      </c>
      <c r="P111" s="112">
        <v>53.7</v>
      </c>
      <c r="Q111" s="112">
        <v>62</v>
      </c>
      <c r="R111" s="112">
        <v>62.4</v>
      </c>
      <c r="S111" s="112">
        <v>62.4</v>
      </c>
      <c r="T111" s="112">
        <v>39.9</v>
      </c>
      <c r="U111" s="112">
        <v>44.4</v>
      </c>
      <c r="V111" s="112">
        <v>44.1</v>
      </c>
      <c r="W111" s="112">
        <v>41.8</v>
      </c>
      <c r="X111" s="112">
        <v>43.6</v>
      </c>
      <c r="Y111" s="112">
        <v>50.1</v>
      </c>
      <c r="Z111" s="112">
        <v>49.9</v>
      </c>
      <c r="AA111" s="112">
        <v>48.5</v>
      </c>
      <c r="AB111" s="112">
        <v>39.5</v>
      </c>
      <c r="AC111" s="112">
        <v>38.9</v>
      </c>
      <c r="AD111" s="112">
        <v>32.9</v>
      </c>
      <c r="AE111" s="112">
        <v>25.8</v>
      </c>
      <c r="AF111" s="112">
        <v>20.399999999999999</v>
      </c>
      <c r="AG111" s="113">
        <v>75</v>
      </c>
      <c r="AH111" s="47">
        <f t="shared" si="8"/>
        <v>74</v>
      </c>
      <c r="AI111" s="48">
        <f t="shared" si="9"/>
        <v>12.4</v>
      </c>
    </row>
    <row r="112" spans="1:37" x14ac:dyDescent="0.25">
      <c r="A112" s="102" t="s">
        <v>120</v>
      </c>
      <c r="B112" s="114">
        <v>42</v>
      </c>
      <c r="C112" s="114">
        <v>42</v>
      </c>
      <c r="D112" s="114">
        <v>42</v>
      </c>
      <c r="E112" s="114">
        <v>33.799999999999997</v>
      </c>
      <c r="F112" s="114">
        <v>39.200000000000003</v>
      </c>
      <c r="G112" s="114">
        <v>42</v>
      </c>
      <c r="H112" s="114">
        <v>58.8</v>
      </c>
      <c r="I112" s="114">
        <v>73.099999999999994</v>
      </c>
      <c r="J112" s="114">
        <v>91.5</v>
      </c>
      <c r="K112" s="114"/>
      <c r="L112" s="114"/>
      <c r="M112" s="114">
        <v>108</v>
      </c>
      <c r="N112" s="114">
        <v>89</v>
      </c>
      <c r="O112" s="114">
        <v>86.9</v>
      </c>
      <c r="P112" s="114">
        <v>76.2</v>
      </c>
      <c r="Q112" s="114">
        <v>91.5</v>
      </c>
      <c r="R112" s="114">
        <v>89.4</v>
      </c>
      <c r="S112" s="114">
        <v>89.4</v>
      </c>
      <c r="T112" s="114">
        <v>57.6</v>
      </c>
      <c r="U112" s="114">
        <v>59.9</v>
      </c>
      <c r="V112" s="114">
        <v>60.8</v>
      </c>
      <c r="W112" s="114">
        <v>55.4</v>
      </c>
      <c r="X112" s="114">
        <v>58.4</v>
      </c>
      <c r="Y112" s="114">
        <v>70.8</v>
      </c>
      <c r="Z112" s="114">
        <v>72.400000000000006</v>
      </c>
      <c r="AA112" s="114">
        <v>70.599999999999994</v>
      </c>
      <c r="AB112" s="114">
        <v>56.9</v>
      </c>
      <c r="AC112" s="114">
        <v>54.6</v>
      </c>
      <c r="AD112" s="114">
        <v>44.6</v>
      </c>
      <c r="AE112" s="114">
        <v>36</v>
      </c>
      <c r="AF112" s="114">
        <v>32.799999999999997</v>
      </c>
      <c r="AG112" s="113">
        <v>240</v>
      </c>
      <c r="AH112" s="47">
        <f t="shared" si="8"/>
        <v>108</v>
      </c>
      <c r="AI112" s="48">
        <f t="shared" si="9"/>
        <v>32.799999999999997</v>
      </c>
    </row>
    <row r="113" spans="1:37" x14ac:dyDescent="0.25">
      <c r="A113" s="102" t="s">
        <v>121</v>
      </c>
      <c r="B113" s="114">
        <v>-170</v>
      </c>
      <c r="C113" s="114">
        <v>-170</v>
      </c>
      <c r="D113" s="114">
        <v>-170</v>
      </c>
      <c r="E113" s="114">
        <v>-169.8</v>
      </c>
      <c r="F113" s="114">
        <v>-170.5</v>
      </c>
      <c r="G113" s="114">
        <v>-170</v>
      </c>
      <c r="H113" s="114">
        <v>-170</v>
      </c>
      <c r="I113" s="114">
        <v>-172.5</v>
      </c>
      <c r="J113" s="114">
        <v>-185</v>
      </c>
      <c r="K113" s="114"/>
      <c r="L113" s="114"/>
      <c r="M113" s="114">
        <v>-187</v>
      </c>
      <c r="N113" s="114">
        <v>-180</v>
      </c>
      <c r="O113" s="114">
        <v>-170</v>
      </c>
      <c r="P113" s="114">
        <v>-170</v>
      </c>
      <c r="Q113" s="114">
        <v>-180</v>
      </c>
      <c r="R113" s="114">
        <f>-89.6-86.8</f>
        <v>-176.39999999999998</v>
      </c>
      <c r="S113" s="114">
        <f>-89.6-86.8</f>
        <v>-176.39999999999998</v>
      </c>
      <c r="T113" s="114">
        <v>-135</v>
      </c>
      <c r="U113" s="114">
        <v>-108</v>
      </c>
      <c r="V113" s="114">
        <v>-115</v>
      </c>
      <c r="W113" s="114">
        <v>-103</v>
      </c>
      <c r="X113" s="114">
        <v>-100</v>
      </c>
      <c r="Y113" s="114">
        <v>-107</v>
      </c>
      <c r="Z113" s="114">
        <v>-109</v>
      </c>
      <c r="AA113" s="114">
        <v>-111</v>
      </c>
      <c r="AB113" s="114">
        <f>-64.5-62.9</f>
        <v>-127.4</v>
      </c>
      <c r="AC113" s="114">
        <v>-120</v>
      </c>
      <c r="AD113" s="114">
        <v>-120</v>
      </c>
      <c r="AE113" s="114">
        <v>-135</v>
      </c>
      <c r="AF113" s="114">
        <v>-140</v>
      </c>
      <c r="AG113" s="113">
        <v>240</v>
      </c>
      <c r="AH113" s="47">
        <f t="shared" si="8"/>
        <v>-100</v>
      </c>
      <c r="AI113" s="48">
        <f t="shared" si="9"/>
        <v>-187</v>
      </c>
    </row>
    <row r="114" spans="1:37" x14ac:dyDescent="0.25">
      <c r="A114" s="102" t="s">
        <v>122</v>
      </c>
      <c r="B114" s="114">
        <v>-14</v>
      </c>
      <c r="C114" s="114">
        <v>-14</v>
      </c>
      <c r="D114" s="114">
        <v>-14</v>
      </c>
      <c r="E114" s="114">
        <v>-14</v>
      </c>
      <c r="F114" s="114">
        <v>-13.9</v>
      </c>
      <c r="G114" s="114">
        <v>-14</v>
      </c>
      <c r="H114" s="114">
        <v>-7.9</v>
      </c>
      <c r="I114" s="114">
        <v>-6.9</v>
      </c>
      <c r="J114" s="114">
        <v>-5.3</v>
      </c>
      <c r="K114" s="114"/>
      <c r="L114" s="114"/>
      <c r="M114" s="114">
        <v>3</v>
      </c>
      <c r="N114" s="114">
        <v>0.8</v>
      </c>
      <c r="O114" s="114">
        <v>2.4</v>
      </c>
      <c r="P114" s="114">
        <v>8.4</v>
      </c>
      <c r="Q114" s="114">
        <v>8</v>
      </c>
      <c r="R114" s="114">
        <v>2.4</v>
      </c>
      <c r="S114" s="114">
        <v>2.4</v>
      </c>
      <c r="T114" s="114">
        <v>1.3</v>
      </c>
      <c r="U114" s="114">
        <v>0.8</v>
      </c>
      <c r="V114" s="114">
        <v>0.7</v>
      </c>
      <c r="W114" s="114">
        <v>6.1</v>
      </c>
      <c r="X114" s="114">
        <v>11</v>
      </c>
      <c r="Y114" s="114">
        <v>3</v>
      </c>
      <c r="Z114" s="114">
        <v>4.2</v>
      </c>
      <c r="AA114" s="114">
        <v>0.8</v>
      </c>
      <c r="AB114" s="114">
        <v>2.5</v>
      </c>
      <c r="AC114" s="114">
        <v>0.9</v>
      </c>
      <c r="AD114" s="114">
        <v>1</v>
      </c>
      <c r="AE114" s="114">
        <v>-5</v>
      </c>
      <c r="AF114" s="114">
        <v>-6</v>
      </c>
      <c r="AG114" s="113">
        <v>60</v>
      </c>
      <c r="AH114" s="47">
        <f t="shared" si="8"/>
        <v>11</v>
      </c>
      <c r="AI114" s="48">
        <f t="shared" si="9"/>
        <v>-14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/>
      <c r="L115" s="116"/>
      <c r="M115" s="116">
        <v>34</v>
      </c>
      <c r="N115" s="116">
        <v>44</v>
      </c>
      <c r="O115" s="116">
        <v>53.6</v>
      </c>
      <c r="P115" s="116">
        <v>55.3</v>
      </c>
      <c r="Q115" s="116">
        <v>39</v>
      </c>
      <c r="R115" s="116">
        <v>39.799999999999997</v>
      </c>
      <c r="S115" s="116">
        <v>39.799999999999997</v>
      </c>
      <c r="T115" s="116">
        <v>43.4</v>
      </c>
      <c r="U115" s="116">
        <v>28.3</v>
      </c>
      <c r="V115" s="116">
        <v>31.7</v>
      </c>
      <c r="W115" s="116">
        <v>32.200000000000003</v>
      </c>
      <c r="X115" s="116">
        <v>32.200000000000003</v>
      </c>
      <c r="Y115" s="116">
        <v>38.4</v>
      </c>
      <c r="Z115" s="116">
        <v>46.6</v>
      </c>
      <c r="AA115" s="116">
        <v>33.9</v>
      </c>
      <c r="AB115" s="116">
        <v>38.9</v>
      </c>
      <c r="AC115" s="116">
        <v>39.1</v>
      </c>
      <c r="AD115" s="116">
        <v>27.5</v>
      </c>
      <c r="AE115" s="116">
        <v>28.2</v>
      </c>
      <c r="AF115" s="116">
        <v>0</v>
      </c>
      <c r="AG115" s="117">
        <v>120</v>
      </c>
      <c r="AH115" s="47">
        <f t="shared" si="8"/>
        <v>55.3</v>
      </c>
      <c r="AI115" s="48">
        <f t="shared" si="9"/>
        <v>0</v>
      </c>
    </row>
    <row r="116" spans="1:37" x14ac:dyDescent="0.25">
      <c r="A116" s="115" t="s">
        <v>124</v>
      </c>
      <c r="B116" s="116">
        <v>80</v>
      </c>
      <c r="C116" s="116">
        <v>80</v>
      </c>
      <c r="D116" s="116">
        <v>62</v>
      </c>
      <c r="E116" s="116">
        <v>61.2</v>
      </c>
      <c r="F116" s="116">
        <v>51</v>
      </c>
      <c r="G116" s="116">
        <v>95.5</v>
      </c>
      <c r="H116" s="116">
        <v>81.5</v>
      </c>
      <c r="I116" s="116">
        <v>55.2</v>
      </c>
      <c r="J116" s="116">
        <v>72.5</v>
      </c>
      <c r="K116" s="116"/>
      <c r="L116" s="116"/>
      <c r="M116" s="116">
        <v>24</v>
      </c>
      <c r="N116" s="116">
        <v>51</v>
      </c>
      <c r="O116" s="116">
        <v>61</v>
      </c>
      <c r="P116" s="116">
        <v>61</v>
      </c>
      <c r="Q116" s="116">
        <v>81</v>
      </c>
      <c r="R116" s="116">
        <v>79.7</v>
      </c>
      <c r="S116" s="116">
        <v>79.7</v>
      </c>
      <c r="T116" s="116">
        <v>0</v>
      </c>
      <c r="U116" s="116">
        <v>57.7</v>
      </c>
      <c r="V116" s="116">
        <v>23.7</v>
      </c>
      <c r="W116" s="116">
        <v>21.5</v>
      </c>
      <c r="X116" s="116">
        <v>12.2</v>
      </c>
      <c r="Y116" s="116">
        <v>34.299999999999997</v>
      </c>
      <c r="Z116" s="116">
        <v>42.6</v>
      </c>
      <c r="AA116" s="116">
        <v>39.9</v>
      </c>
      <c r="AB116" s="116">
        <v>53.4</v>
      </c>
      <c r="AC116" s="116">
        <v>43</v>
      </c>
      <c r="AD116" s="116">
        <v>49</v>
      </c>
      <c r="AE116" s="116">
        <v>23.6</v>
      </c>
      <c r="AF116" s="116">
        <v>54</v>
      </c>
      <c r="AG116" s="117"/>
      <c r="AH116" s="47">
        <f t="shared" si="8"/>
        <v>95.5</v>
      </c>
      <c r="AI116" s="48">
        <f t="shared" si="9"/>
        <v>0</v>
      </c>
    </row>
    <row r="117" spans="1:37" x14ac:dyDescent="0.25">
      <c r="A117" s="115" t="s">
        <v>125</v>
      </c>
      <c r="B117" s="116">
        <v>23</v>
      </c>
      <c r="C117" s="116">
        <v>23</v>
      </c>
      <c r="D117" s="116">
        <v>24</v>
      </c>
      <c r="E117" s="116">
        <v>91.2</v>
      </c>
      <c r="F117" s="116">
        <v>17.100000000000001</v>
      </c>
      <c r="G117" s="116">
        <v>24</v>
      </c>
      <c r="H117" s="116">
        <v>1.1000000000000001</v>
      </c>
      <c r="I117" s="116">
        <v>-4.0999999999999996</v>
      </c>
      <c r="J117" s="116">
        <v>-17.100000000000001</v>
      </c>
      <c r="K117" s="116"/>
      <c r="L117" s="116"/>
      <c r="M117" s="116">
        <v>-3</v>
      </c>
      <c r="N117" s="116">
        <v>0.9</v>
      </c>
      <c r="O117" s="116">
        <v>6.7</v>
      </c>
      <c r="P117" s="116">
        <v>16</v>
      </c>
      <c r="Q117" s="116">
        <v>7.5</v>
      </c>
      <c r="R117" s="116">
        <v>7.5</v>
      </c>
      <c r="S117" s="116">
        <v>7.5</v>
      </c>
      <c r="T117" s="116">
        <v>-12.9</v>
      </c>
      <c r="U117" s="116">
        <v>-40.700000000000003</v>
      </c>
      <c r="V117" s="116">
        <v>-25.4</v>
      </c>
      <c r="W117" s="116">
        <v>-30.7</v>
      </c>
      <c r="X117" s="116">
        <v>-22.9</v>
      </c>
      <c r="Y117" s="116">
        <v>-19.399999999999999</v>
      </c>
      <c r="Z117" s="116">
        <v>-3.5</v>
      </c>
      <c r="AA117" s="116">
        <v>-11.5</v>
      </c>
      <c r="AB117" s="116">
        <v>-1.4</v>
      </c>
      <c r="AC117" s="116">
        <v>-19.399999999999999</v>
      </c>
      <c r="AD117" s="116">
        <v>-18</v>
      </c>
      <c r="AE117" s="116">
        <v>-5</v>
      </c>
      <c r="AF117" s="116">
        <v>4</v>
      </c>
      <c r="AG117" s="118"/>
      <c r="AH117" s="47">
        <f t="shared" si="8"/>
        <v>91.2</v>
      </c>
      <c r="AI117" s="48">
        <f t="shared" si="9"/>
        <v>-40.700000000000003</v>
      </c>
    </row>
    <row r="118" spans="1:37" x14ac:dyDescent="0.25">
      <c r="A118" s="119" t="s">
        <v>126</v>
      </c>
      <c r="B118" s="105">
        <v>46</v>
      </c>
      <c r="C118" s="105">
        <v>46</v>
      </c>
      <c r="D118" s="105">
        <v>49</v>
      </c>
      <c r="E118" s="105">
        <v>49</v>
      </c>
      <c r="F118" s="105">
        <v>55.4</v>
      </c>
      <c r="G118" s="105">
        <v>49</v>
      </c>
      <c r="H118" s="105">
        <v>58.6</v>
      </c>
      <c r="I118" s="105">
        <v>58.7</v>
      </c>
      <c r="J118" s="105">
        <v>49.7</v>
      </c>
      <c r="K118" s="105"/>
      <c r="L118" s="105"/>
      <c r="M118" s="105">
        <v>36</v>
      </c>
      <c r="N118" s="105">
        <v>-7</v>
      </c>
      <c r="O118" s="105">
        <v>-6.6</v>
      </c>
      <c r="P118" s="105">
        <v>-26.1</v>
      </c>
      <c r="Q118" s="105">
        <v>1.3</v>
      </c>
      <c r="R118" s="105">
        <v>10.3</v>
      </c>
      <c r="S118" s="105">
        <v>10.3</v>
      </c>
      <c r="T118" s="105">
        <v>24.9</v>
      </c>
      <c r="U118" s="105">
        <v>24.9</v>
      </c>
      <c r="V118" s="105">
        <v>24.7</v>
      </c>
      <c r="W118" s="105">
        <v>25.7</v>
      </c>
      <c r="X118" s="105">
        <v>0.4</v>
      </c>
      <c r="Y118" s="105">
        <v>-0.5</v>
      </c>
      <c r="Z118" s="105">
        <v>9.6999999999999993</v>
      </c>
      <c r="AA118" s="105">
        <v>11</v>
      </c>
      <c r="AB118" s="105">
        <v>11.4</v>
      </c>
      <c r="AC118" s="105">
        <v>14</v>
      </c>
      <c r="AD118" s="105">
        <v>17.100000000000001</v>
      </c>
      <c r="AE118" s="105">
        <v>32</v>
      </c>
      <c r="AF118" s="105">
        <v>37.4</v>
      </c>
      <c r="AG118" s="118"/>
      <c r="AH118" s="47">
        <f t="shared" si="8"/>
        <v>58.7</v>
      </c>
      <c r="AI118" s="48">
        <f t="shared" si="9"/>
        <v>-26.1</v>
      </c>
    </row>
    <row r="119" spans="1:37" x14ac:dyDescent="0.25">
      <c r="A119" s="120" t="s">
        <v>127</v>
      </c>
      <c r="B119" s="105">
        <v>86</v>
      </c>
      <c r="C119" s="105">
        <v>86</v>
      </c>
      <c r="D119" s="105">
        <v>91</v>
      </c>
      <c r="E119" s="105">
        <v>91</v>
      </c>
      <c r="F119" s="105">
        <v>93.3</v>
      </c>
      <c r="G119" s="105">
        <v>91</v>
      </c>
      <c r="H119" s="105">
        <v>89.6</v>
      </c>
      <c r="I119" s="105">
        <v>92.5</v>
      </c>
      <c r="J119" s="105">
        <v>91.7</v>
      </c>
      <c r="K119" s="105"/>
      <c r="L119" s="105"/>
      <c r="M119" s="105">
        <v>94</v>
      </c>
      <c r="N119" s="105">
        <v>94</v>
      </c>
      <c r="O119" s="105">
        <v>86</v>
      </c>
      <c r="P119" s="105">
        <v>83</v>
      </c>
      <c r="Q119" s="105">
        <v>86</v>
      </c>
      <c r="R119" s="105">
        <v>81.900000000000006</v>
      </c>
      <c r="S119" s="105">
        <v>81.900000000000006</v>
      </c>
      <c r="T119" s="105">
        <v>93.7</v>
      </c>
      <c r="U119" s="105">
        <v>89.6</v>
      </c>
      <c r="V119" s="105">
        <v>96.8</v>
      </c>
      <c r="W119" s="105">
        <v>85.6</v>
      </c>
      <c r="X119" s="105">
        <v>87.3</v>
      </c>
      <c r="Y119" s="105">
        <v>92.1</v>
      </c>
      <c r="Z119" s="105">
        <v>87.5</v>
      </c>
      <c r="AA119" s="105">
        <v>88.6</v>
      </c>
      <c r="AB119" s="105">
        <v>92.5</v>
      </c>
      <c r="AC119" s="105">
        <v>90.2</v>
      </c>
      <c r="AD119" s="105">
        <v>89.3</v>
      </c>
      <c r="AE119" s="105">
        <v>97.3</v>
      </c>
      <c r="AF119" s="105">
        <v>96</v>
      </c>
      <c r="AG119" s="118"/>
      <c r="AH119" s="47">
        <f t="shared" si="8"/>
        <v>97.3</v>
      </c>
      <c r="AI119" s="48">
        <f t="shared" si="9"/>
        <v>81.900000000000006</v>
      </c>
    </row>
    <row r="120" spans="1:37" ht="15.75" thickBot="1" x14ac:dyDescent="0.3">
      <c r="A120" s="119" t="s">
        <v>128</v>
      </c>
      <c r="B120" s="105">
        <v>25</v>
      </c>
      <c r="C120" s="105">
        <v>25</v>
      </c>
      <c r="D120" s="105">
        <v>22</v>
      </c>
      <c r="E120" s="105">
        <v>22</v>
      </c>
      <c r="F120" s="105">
        <v>11.9</v>
      </c>
      <c r="G120" s="105">
        <v>22</v>
      </c>
      <c r="H120" s="105">
        <v>1.1000000000000001</v>
      </c>
      <c r="I120" s="105">
        <v>-12.4</v>
      </c>
      <c r="J120" s="105">
        <v>-1.3</v>
      </c>
      <c r="K120" s="105"/>
      <c r="L120" s="105"/>
      <c r="M120" s="105">
        <v>20</v>
      </c>
      <c r="N120" s="105">
        <v>47</v>
      </c>
      <c r="O120" s="105">
        <v>43</v>
      </c>
      <c r="P120" s="105">
        <v>52</v>
      </c>
      <c r="Q120" s="105">
        <v>36</v>
      </c>
      <c r="R120" s="105">
        <v>36.200000000000003</v>
      </c>
      <c r="S120" s="105">
        <v>36.200000000000003</v>
      </c>
      <c r="T120" s="105">
        <v>36.200000000000003</v>
      </c>
      <c r="U120" s="105">
        <v>34.299999999999997</v>
      </c>
      <c r="V120" s="105">
        <v>27.5</v>
      </c>
      <c r="W120" s="105">
        <v>29.7</v>
      </c>
      <c r="X120" s="105">
        <v>48.2</v>
      </c>
      <c r="Y120" s="105">
        <v>61.5</v>
      </c>
      <c r="Z120" s="105">
        <v>56.1</v>
      </c>
      <c r="AA120" s="105">
        <v>53</v>
      </c>
      <c r="AB120" s="105">
        <v>57.6</v>
      </c>
      <c r="AC120" s="105">
        <v>54</v>
      </c>
      <c r="AD120" s="105">
        <v>49</v>
      </c>
      <c r="AE120" s="105">
        <v>45.1</v>
      </c>
      <c r="AF120" s="105">
        <v>36</v>
      </c>
      <c r="AG120" s="118"/>
      <c r="AH120" s="47">
        <f t="shared" si="8"/>
        <v>61.5</v>
      </c>
      <c r="AI120" s="48">
        <f t="shared" si="9"/>
        <v>-12.4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2078.7400000000002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31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2080/05/31)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2080/05/31)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2040.8400000000001</v>
      </c>
      <c r="U249" s="170">
        <f t="shared" si="22"/>
        <v>2040.8400000000001</v>
      </c>
      <c r="V249" s="170">
        <f t="shared" si="22"/>
        <v>2040.8400000000001</v>
      </c>
      <c r="W249" s="170">
        <f t="shared" si="22"/>
        <v>2040.8400000000001</v>
      </c>
      <c r="X249" s="170">
        <f t="shared" si="22"/>
        <v>2040.8400000000001</v>
      </c>
      <c r="Y249" s="170">
        <f t="shared" si="22"/>
        <v>2040.8400000000001</v>
      </c>
      <c r="Z249" s="170">
        <f t="shared" si="22"/>
        <v>2040.8400000000001</v>
      </c>
      <c r="AA249" s="170">
        <f t="shared" si="22"/>
        <v>2014.3400000000001</v>
      </c>
      <c r="AB249" s="170">
        <f t="shared" si="22"/>
        <v>2015.64</v>
      </c>
      <c r="AC249" s="170">
        <f t="shared" si="22"/>
        <v>2014.3400000000001</v>
      </c>
      <c r="AD249" s="170">
        <f t="shared" si="22"/>
        <v>2014.3400000000001</v>
      </c>
      <c r="AE249" s="170">
        <f t="shared" si="22"/>
        <v>2053.04</v>
      </c>
      <c r="AF249" s="170">
        <f t="shared" si="22"/>
        <v>2078.7400000000002</v>
      </c>
      <c r="AG249" s="170">
        <f t="shared" si="22"/>
        <v>2079.54</v>
      </c>
      <c r="AH249" s="170">
        <f t="shared" si="22"/>
        <v>2114.1400000000003</v>
      </c>
      <c r="AI249" s="170">
        <f t="shared" si="22"/>
        <v>2138.0400000000004</v>
      </c>
      <c r="AJ249" s="170">
        <f t="shared" si="22"/>
        <v>2110.14</v>
      </c>
      <c r="AK249" s="170">
        <f t="shared" si="22"/>
        <v>2142.84</v>
      </c>
      <c r="AL249" s="170">
        <f t="shared" si="22"/>
        <v>2100.84</v>
      </c>
      <c r="AM249" s="170">
        <f t="shared" si="22"/>
        <v>1955.74</v>
      </c>
      <c r="AN249" s="170">
        <f t="shared" si="22"/>
        <v>1959.6399999999999</v>
      </c>
      <c r="AO249" s="170">
        <f t="shared" si="22"/>
        <v>1947.04</v>
      </c>
      <c r="AP249" s="170">
        <f t="shared" si="22"/>
        <v>2007.5400000000002</v>
      </c>
      <c r="AQ249" s="170">
        <f t="shared" si="22"/>
        <v>2085.94</v>
      </c>
      <c r="AR249" s="170">
        <f t="shared" si="22"/>
        <v>2120.14</v>
      </c>
      <c r="AS249" s="170">
        <f t="shared" si="22"/>
        <v>2059.3399999999997</v>
      </c>
      <c r="AT249" s="170">
        <f t="shared" si="22"/>
        <v>2078.54</v>
      </c>
      <c r="AU249" s="170">
        <f t="shared" si="22"/>
        <v>2065.0300000000002</v>
      </c>
      <c r="AV249" s="170">
        <f t="shared" si="22"/>
        <v>2039.23</v>
      </c>
      <c r="AW249" s="170">
        <f t="shared" si="22"/>
        <v>2039.23</v>
      </c>
      <c r="AX249" s="170">
        <f t="shared" si="22"/>
        <v>2039.23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951" priority="64">
      <formula>$AH11=0</formula>
    </cfRule>
  </conditionalFormatting>
  <conditionalFormatting sqref="B8 M8 S8 AB8">
    <cfRule type="expression" dxfId="3950" priority="115">
      <formula>AND(C$9&gt;=14/24,C$9&lt;20/24)</formula>
    </cfRule>
    <cfRule type="expression" dxfId="3949" priority="116">
      <formula>AND(C$9&gt;=8/24,C$9&lt;14/24)</formula>
    </cfRule>
    <cfRule type="expression" dxfId="3948" priority="117">
      <formula>C$9&lt;8/24</formula>
    </cfRule>
  </conditionalFormatting>
  <conditionalFormatting sqref="B54:L54">
    <cfRule type="expression" dxfId="3947" priority="38">
      <formula>B$9&gt;=20/24</formula>
    </cfRule>
    <cfRule type="expression" dxfId="3946" priority="39">
      <formula>AND(B$9&gt;=14/24,B$9&lt;20/24)</formula>
    </cfRule>
    <cfRule type="expression" dxfId="3945" priority="40">
      <formula>AND(B$9&gt;=8/24,B$9&lt;14/24)</formula>
    </cfRule>
    <cfRule type="expression" dxfId="3944" priority="41">
      <formula>B$9&lt;8/24</formula>
    </cfRule>
  </conditionalFormatting>
  <conditionalFormatting sqref="B54:L66 M55:P66 Q55:V58 W55:AA55 Q60:AF66">
    <cfRule type="expression" dxfId="3943" priority="33">
      <formula>B54&gt;$AG54</formula>
    </cfRule>
  </conditionalFormatting>
  <conditionalFormatting sqref="B55:P59 Q55:V58 W55:AA55">
    <cfRule type="expression" dxfId="3942" priority="60">
      <formula>B$9&gt;=20/24</formula>
    </cfRule>
    <cfRule type="expression" dxfId="3941" priority="61">
      <formula>AND(B$9&gt;=14/24,B$9&lt;20/24)</formula>
    </cfRule>
    <cfRule type="expression" dxfId="3940" priority="62">
      <formula>AND(B$9&gt;=8/24,B$9&lt;14/24)</formula>
    </cfRule>
    <cfRule type="expression" dxfId="3939" priority="63">
      <formula>B$9&lt;8/24</formula>
    </cfRule>
  </conditionalFormatting>
  <conditionalFormatting sqref="B60:AF60">
    <cfRule type="expression" dxfId="3938" priority="51">
      <formula>B$9&gt;=20/24</formula>
    </cfRule>
    <cfRule type="expression" dxfId="3937" priority="52">
      <formula>AND(B$9&gt;=14/24,B$9&lt;20/24)</formula>
    </cfRule>
    <cfRule type="expression" dxfId="3936" priority="53">
      <formula>AND(B$9&gt;=8/24,B$9&lt;14/24)</formula>
    </cfRule>
    <cfRule type="expression" dxfId="3935" priority="54">
      <formula>B$9&lt;8/24</formula>
    </cfRule>
  </conditionalFormatting>
  <conditionalFormatting sqref="B61:AF66">
    <cfRule type="expression" dxfId="3934" priority="34">
      <formula>B$9&gt;=20/24</formula>
    </cfRule>
    <cfRule type="expression" dxfId="3933" priority="35">
      <formula>AND(B$9&gt;=14/24,B$9&lt;20/24)</formula>
    </cfRule>
    <cfRule type="expression" dxfId="3932" priority="36">
      <formula>AND(B$9&gt;=8/24,B$9&lt;14/24)</formula>
    </cfRule>
    <cfRule type="expression" dxfId="3931" priority="37">
      <formula>B$9&lt;8/24</formula>
    </cfRule>
  </conditionalFormatting>
  <conditionalFormatting sqref="B9:AF45">
    <cfRule type="expression" dxfId="3930" priority="23">
      <formula>B$9&gt;=20/24</formula>
    </cfRule>
    <cfRule type="expression" dxfId="3929" priority="24">
      <formula>AND(B$9&gt;=14/24,B$9&lt;20/24)</formula>
    </cfRule>
    <cfRule type="expression" dxfId="3928" priority="25">
      <formula>AND(B$9&gt;=8/24,B$9&lt;14/24)</formula>
    </cfRule>
    <cfRule type="expression" dxfId="3927" priority="26">
      <formula>B$9&lt;8/24</formula>
    </cfRule>
  </conditionalFormatting>
  <conditionalFormatting sqref="B11:AF46">
    <cfRule type="expression" dxfId="3926" priority="22">
      <formula>B11&gt;$AG11</formula>
    </cfRule>
  </conditionalFormatting>
  <conditionalFormatting sqref="B46:AF46">
    <cfRule type="expression" dxfId="3925" priority="18">
      <formula>B$9&gt;=20/24</formula>
    </cfRule>
    <cfRule type="expression" dxfId="3924" priority="19">
      <formula>AND(B$9&gt;=14/24,B$9&lt;20/24)</formula>
    </cfRule>
    <cfRule type="expression" dxfId="3923" priority="20">
      <formula>AND(B$9&gt;=8/24,B$9&lt;14/24)</formula>
    </cfRule>
    <cfRule type="expression" dxfId="3922" priority="21">
      <formula>B$9&lt;8/24</formula>
    </cfRule>
  </conditionalFormatting>
  <conditionalFormatting sqref="B47:AF47">
    <cfRule type="expression" dxfId="3921" priority="32">
      <formula>B47&gt;$AG47</formula>
    </cfRule>
  </conditionalFormatting>
  <conditionalFormatting sqref="B47:AF49">
    <cfRule type="expression" dxfId="3920" priority="28">
      <formula>B$9&gt;=20/24</formula>
    </cfRule>
    <cfRule type="expression" dxfId="3919" priority="29">
      <formula>AND(B$9&gt;=14/24,B$9&lt;20/24)</formula>
    </cfRule>
    <cfRule type="expression" dxfId="3918" priority="30">
      <formula>AND(B$9&gt;=8/24,B$9&lt;14/24)</formula>
    </cfRule>
    <cfRule type="expression" dxfId="3917" priority="31">
      <formula>B$9&lt;8/24</formula>
    </cfRule>
  </conditionalFormatting>
  <conditionalFormatting sqref="B48:AF53">
    <cfRule type="expression" dxfId="3916" priority="27">
      <formula>B48&gt;$AG48</formula>
    </cfRule>
  </conditionalFormatting>
  <conditionalFormatting sqref="B51:AF53">
    <cfRule type="expression" dxfId="3915" priority="47">
      <formula>B$9&gt;=20/24</formula>
    </cfRule>
    <cfRule type="expression" dxfId="3914" priority="48">
      <formula>AND(B$9&gt;=14/24,B$9&lt;20/24)</formula>
    </cfRule>
    <cfRule type="expression" dxfId="3913" priority="49">
      <formula>AND(B$9&gt;=8/24,B$9&lt;14/24)</formula>
    </cfRule>
    <cfRule type="expression" dxfId="3912" priority="50">
      <formula>B$9&lt;8/24</formula>
    </cfRule>
  </conditionalFormatting>
  <conditionalFormatting sqref="B69:AF71">
    <cfRule type="expression" dxfId="3911" priority="55">
      <formula>B69&gt;$AG69</formula>
    </cfRule>
    <cfRule type="expression" dxfId="3910" priority="56">
      <formula>B$9&gt;=20/24</formula>
    </cfRule>
    <cfRule type="expression" dxfId="3909" priority="57">
      <formula>AND(B$9&gt;=14/24,B$9&lt;20/24)</formula>
    </cfRule>
    <cfRule type="expression" dxfId="3908" priority="58">
      <formula>AND(B$9&gt;=8/24,B$9&lt;14/24)</formula>
    </cfRule>
    <cfRule type="expression" dxfId="3907" priority="59">
      <formula>B$9&lt;8/24</formula>
    </cfRule>
  </conditionalFormatting>
  <conditionalFormatting sqref="B73:AF91">
    <cfRule type="expression" dxfId="3906" priority="1">
      <formula>B$9&gt;=20/24</formula>
    </cfRule>
    <cfRule type="expression" dxfId="3905" priority="2">
      <formula>AND(B$9&gt;=14/24,B$9&lt;20/24)</formula>
    </cfRule>
    <cfRule type="expression" dxfId="3904" priority="3">
      <formula>AND(B$9&gt;=8/24,B$9&lt;14/24)</formula>
    </cfRule>
    <cfRule type="expression" dxfId="3903" priority="4">
      <formula>B$9&lt;8/24</formula>
    </cfRule>
  </conditionalFormatting>
  <conditionalFormatting sqref="B111:AF120">
    <cfRule type="expression" dxfId="3902" priority="14">
      <formula>B$9&gt;=20/24</formula>
    </cfRule>
    <cfRule type="expression" dxfId="3901" priority="15">
      <formula>AND(B$9&gt;=14/24,B$9&lt;20/24)</formula>
    </cfRule>
    <cfRule type="expression" dxfId="3900" priority="16">
      <formula>AND(B$9&gt;=8/24,B$9&lt;14/24)</formula>
    </cfRule>
    <cfRule type="expression" dxfId="3899" priority="17">
      <formula>B$9&lt;8/24</formula>
    </cfRule>
  </conditionalFormatting>
  <conditionalFormatting sqref="B227:AF227 D229:AF230 B229:B235 D231:H231 J231:AF231 D232:AF235 U248:AF248">
    <cfRule type="expression" dxfId="3898" priority="108">
      <formula>B$9&gt;=20/24</formula>
    </cfRule>
    <cfRule type="expression" dxfId="3897" priority="109">
      <formula>AND(B$9&gt;=14/24,B$9&lt;20/24)</formula>
    </cfRule>
    <cfRule type="expression" dxfId="3896" priority="110">
      <formula>AND(B$9&gt;=8/24,B$9&lt;14/24)</formula>
    </cfRule>
    <cfRule type="expression" dxfId="3895" priority="111">
      <formula>B$9&lt;8/24</formula>
    </cfRule>
  </conditionalFormatting>
  <conditionalFormatting sqref="B72:AG72 B67:AG68">
    <cfRule type="expression" dxfId="3894" priority="42">
      <formula>B67&gt;$AG67</formula>
    </cfRule>
  </conditionalFormatting>
  <conditionalFormatting sqref="B72:AG72 B93:AF109">
    <cfRule type="expression" dxfId="3893" priority="43">
      <formula>B$9&gt;=20/24</formula>
    </cfRule>
    <cfRule type="expression" dxfId="3892" priority="44">
      <formula>AND(B$9&gt;=14/24,B$9&lt;20/24)</formula>
    </cfRule>
    <cfRule type="expression" dxfId="3891" priority="45">
      <formula>AND(B$9&gt;=8/24,B$9&lt;14/24)</formula>
    </cfRule>
    <cfRule type="expression" dxfId="3890" priority="46">
      <formula>B$9&lt;8/24</formula>
    </cfRule>
  </conditionalFormatting>
  <conditionalFormatting sqref="W56:Y58 Q59:Y59 Z56:AA59 AB55:AF59">
    <cfRule type="expression" dxfId="3889" priority="5">
      <formula>Q55&gt;$AG55</formula>
    </cfRule>
  </conditionalFormatting>
  <conditionalFormatting sqref="M54:AG54">
    <cfRule type="expression" dxfId="3888" priority="76">
      <formula>M54&gt;$AG54</formula>
    </cfRule>
    <cfRule type="expression" dxfId="3887" priority="77">
      <formula>M$9&gt;=20/24</formula>
    </cfRule>
    <cfRule type="expression" dxfId="3886" priority="78">
      <formula>AND(M$9&gt;=14/24,M$9&lt;20/24)</formula>
    </cfRule>
    <cfRule type="expression" dxfId="3885" priority="79">
      <formula>AND(M$9&gt;=8/24,M$9&lt;14/24)</formula>
    </cfRule>
    <cfRule type="expression" dxfId="3884" priority="80">
      <formula>M$9&lt;8/24</formula>
    </cfRule>
  </conditionalFormatting>
  <conditionalFormatting sqref="Q59:AA59">
    <cfRule type="expression" dxfId="3883" priority="93">
      <formula>Q$9&gt;=20/24</formula>
    </cfRule>
    <cfRule type="expression" dxfId="3882" priority="94">
      <formula>AND(Q$9&gt;=14/24,Q$9&lt;20/24)</formula>
    </cfRule>
    <cfRule type="expression" dxfId="3881" priority="95">
      <formula>AND(Q$9&gt;=8/24,Q$9&lt;14/24)</formula>
    </cfRule>
    <cfRule type="expression" dxfId="3880" priority="96">
      <formula>Q$9&lt;8/24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879" priority="114">
      <formula>C$9&gt;=20/24</formula>
    </cfRule>
  </conditionalFormatting>
  <conditionalFormatting sqref="S8">
    <cfRule type="expression" dxfId="3878" priority="101">
      <formula>U$9&gt;=20/24</formula>
    </cfRule>
    <cfRule type="expression" dxfId="3877" priority="102">
      <formula>AND(U$9&gt;=14/24,U$9&lt;20/24)</formula>
    </cfRule>
    <cfRule type="expression" dxfId="3876" priority="103">
      <formula>AND(U$9&gt;=8/24,U$9&lt;14/24)</formula>
    </cfRule>
    <cfRule type="expression" dxfId="3875" priority="104">
      <formula>U$9&lt;8/24</formula>
    </cfRule>
  </conditionalFormatting>
  <conditionalFormatting sqref="W56:AA58 AB55:AF59">
    <cfRule type="expression" dxfId="3874" priority="10">
      <formula>W$9&gt;=20/24</formula>
    </cfRule>
    <cfRule type="expression" dxfId="3873" priority="11">
      <formula>AND(W$9&gt;=14/24,W$9&lt;20/24)</formula>
    </cfRule>
    <cfRule type="expression" dxfId="3872" priority="12">
      <formula>AND(W$9&gt;=8/24,W$9&lt;14/24)</formula>
    </cfRule>
    <cfRule type="expression" dxfId="3871" priority="13">
      <formula>W$9&lt;8/24</formula>
    </cfRule>
  </conditionalFormatting>
  <conditionalFormatting sqref="T248">
    <cfRule type="expression" dxfId="3870" priority="126">
      <formula>AX$9&gt;=20/24</formula>
    </cfRule>
    <cfRule type="expression" dxfId="3869" priority="127">
      <formula>AND(AX$9&gt;=14/24,AX$9&lt;20/24)</formula>
    </cfRule>
    <cfRule type="expression" dxfId="3868" priority="128">
      <formula>AND(AX$9&gt;=8/24,AX$9&lt;14/24)</formula>
    </cfRule>
    <cfRule type="expression" dxfId="3867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866" priority="97">
      <formula>AD$9&gt;=20/24</formula>
    </cfRule>
    <cfRule type="expression" dxfId="3865" priority="98">
      <formula>AND(AD$9&gt;=14/24,AD$9&lt;20/24)</formula>
    </cfRule>
    <cfRule type="expression" dxfId="3864" priority="99">
      <formula>AND(AD$9&gt;=8/24,AD$9&lt;14/24)</formula>
    </cfRule>
    <cfRule type="expression" dxfId="3863" priority="100">
      <formula>AD$9&lt;8/24</formula>
    </cfRule>
  </conditionalFormatting>
  <conditionalFormatting sqref="AG50">
    <cfRule type="expression" dxfId="3862" priority="84">
      <formula>AG50&gt;$AG50</formula>
    </cfRule>
  </conditionalFormatting>
  <conditionalFormatting sqref="AG89">
    <cfRule type="expression" dxfId="3861" priority="85">
      <formula>AG$9&gt;=20/24</formula>
    </cfRule>
    <cfRule type="expression" dxfId="3860" priority="86">
      <formula>AND(AG$9&gt;=14/24,AG$9&lt;20/24)</formula>
    </cfRule>
    <cfRule type="expression" dxfId="3859" priority="87">
      <formula>AND(AG$9&gt;=8/24,AG$9&lt;14/24)</formula>
    </cfRule>
    <cfRule type="expression" dxfId="3858" priority="88">
      <formula>AG$9&lt;8/24</formula>
    </cfRule>
  </conditionalFormatting>
  <conditionalFormatting sqref="AG248">
    <cfRule type="expression" dxfId="3857" priority="118">
      <formula>B$9&gt;=20/24</formula>
    </cfRule>
    <cfRule type="expression" dxfId="3856" priority="119">
      <formula>AND(B$9&gt;=14/24,B$9&lt;20/24)</formula>
    </cfRule>
    <cfRule type="expression" dxfId="3855" priority="120">
      <formula>AND(B$9&gt;=8/24,B$9&lt;14/24)</formula>
    </cfRule>
    <cfRule type="expression" dxfId="3854" priority="121">
      <formula>B$9&lt;8/24</formula>
    </cfRule>
  </conditionalFormatting>
  <conditionalFormatting sqref="AH248:AX248">
    <cfRule type="expression" dxfId="3853" priority="122">
      <formula>AG$9&gt;=20/24</formula>
    </cfRule>
    <cfRule type="expression" dxfId="3852" priority="123">
      <formula>AND(AG$9&gt;=14/24,AG$9&lt;20/24)</formula>
    </cfRule>
    <cfRule type="expression" dxfId="3851" priority="124">
      <formula>AND(AG$9&gt;=8/24,AG$9&lt;14/24)</formula>
    </cfRule>
    <cfRule type="expression" dxfId="3850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849" priority="131">
      <formula>AJ$9&gt;=20/24</formula>
    </cfRule>
    <cfRule type="expression" dxfId="3848" priority="132">
      <formula>AND(AJ$9&gt;=14/24,AJ$9&lt;20/24)</formula>
    </cfRule>
    <cfRule type="expression" dxfId="3847" priority="133">
      <formula>AND(AJ$9&gt;=8/24,AJ$9&lt;14/24)</formula>
    </cfRule>
    <cfRule type="expression" dxfId="3846" priority="134">
      <formula>AJ$9&lt;8/24</formula>
    </cfRule>
  </conditionalFormatting>
  <conditionalFormatting sqref="AL80:AN80 AL86:AN86">
    <cfRule type="expression" dxfId="3845" priority="72">
      <formula>AL$9&gt;=20/24</formula>
    </cfRule>
    <cfRule type="expression" dxfId="3844" priority="73">
      <formula>AND(AL$9&gt;=14/24,AL$9&lt;20/24)</formula>
    </cfRule>
    <cfRule type="expression" dxfId="3843" priority="74">
      <formula>AND(AL$9&gt;=8/24,AL$9&lt;14/24)</formula>
    </cfRule>
    <cfRule type="expression" dxfId="3842" priority="75">
      <formula>AL$9&lt;8/24</formula>
    </cfRule>
  </conditionalFormatting>
  <conditionalFormatting sqref="AN81:AN84">
    <cfRule type="expression" dxfId="3841" priority="68">
      <formula>AN$9&gt;=20/24</formula>
    </cfRule>
    <cfRule type="expression" dxfId="3840" priority="69">
      <formula>AND(AN$9&gt;=14/24,AN$9&lt;20/24)</formula>
    </cfRule>
    <cfRule type="expression" dxfId="3839" priority="70">
      <formula>AND(AN$9&gt;=8/24,AN$9&lt;14/24)</formula>
    </cfRule>
    <cfRule type="expression" dxfId="3838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777B-DF93-4E64-8CAC-F7C4312F9B53}">
  <sheetPr codeName="Sheet36"/>
  <dimension ref="A1:CJ281"/>
  <sheetViews>
    <sheetView workbookViewId="0">
      <pane xSplit="1" ySplit="10" topLeftCell="E7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E75" sqref="E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2080/05/1</v>
      </c>
      <c r="C4" s="201"/>
      <c r="D4" s="201"/>
      <c r="E4" s="202" t="str">
        <f ca="1">"2080/"&amp;"05/"&amp;INT(MID(CELL("filename",G6),FIND("]",CELL("filename",G6))+1,200))</f>
        <v>2080/05/1</v>
      </c>
      <c r="F4" s="202"/>
      <c r="G4" s="202"/>
      <c r="H4" s="202" t="str">
        <f ca="1">TEXT(E4,"dddd")</f>
        <v>Wednesday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6.6</v>
      </c>
      <c r="X5" s="30">
        <f t="shared" si="0"/>
        <v>53.2</v>
      </c>
      <c r="Y5" s="30">
        <f t="shared" si="0"/>
        <v>59.1</v>
      </c>
      <c r="Z5" s="30">
        <f t="shared" si="0"/>
        <v>62.6</v>
      </c>
      <c r="AA5" s="30">
        <f t="shared" si="0"/>
        <v>53.5</v>
      </c>
      <c r="AB5" s="30">
        <f t="shared" si="0"/>
        <v>2.5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1562MW at 4:60hr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Load=1472</v>
      </c>
      <c r="B7" s="35">
        <f t="shared" ref="B7:AF7" si="1">B91</f>
        <v>2027.9999999999998</v>
      </c>
      <c r="C7" s="35">
        <f t="shared" si="1"/>
        <v>1998</v>
      </c>
      <c r="D7" s="35">
        <f t="shared" si="1"/>
        <v>1992</v>
      </c>
      <c r="E7" s="35">
        <f t="shared" si="1"/>
        <v>1993.9</v>
      </c>
      <c r="F7" s="35">
        <f t="shared" si="1"/>
        <v>1671.6999999999998</v>
      </c>
      <c r="G7" s="35">
        <f t="shared" si="1"/>
        <v>1561.9999999999995</v>
      </c>
      <c r="H7" s="35">
        <f t="shared" si="1"/>
        <v>1554.8999999999996</v>
      </c>
      <c r="I7" s="35">
        <f t="shared" si="1"/>
        <v>1557.3999999999996</v>
      </c>
      <c r="J7" s="35">
        <f t="shared" si="1"/>
        <v>1551.8999999999996</v>
      </c>
      <c r="K7" s="35">
        <f t="shared" si="1"/>
        <v>1504.1</v>
      </c>
      <c r="L7" s="35">
        <f t="shared" si="1"/>
        <v>1516.3</v>
      </c>
      <c r="M7" s="35">
        <f t="shared" si="1"/>
        <v>1527.2</v>
      </c>
      <c r="N7" s="35">
        <f>N91</f>
        <v>1524.1999999999998</v>
      </c>
      <c r="O7" s="35">
        <f t="shared" si="1"/>
        <v>1541.7999999999997</v>
      </c>
      <c r="P7" s="35">
        <f t="shared" si="1"/>
        <v>1549.8000000000002</v>
      </c>
      <c r="Q7" s="35">
        <f t="shared" si="1"/>
        <v>1568</v>
      </c>
      <c r="R7" s="35">
        <f t="shared" si="1"/>
        <v>1536.5</v>
      </c>
      <c r="S7" s="35">
        <f t="shared" si="1"/>
        <v>1550.5</v>
      </c>
      <c r="T7" s="35">
        <f t="shared" si="1"/>
        <v>1545.8000000000002</v>
      </c>
      <c r="U7" s="35">
        <f t="shared" si="1"/>
        <v>1539.1000000000001</v>
      </c>
      <c r="V7" s="35">
        <f t="shared" si="1"/>
        <v>1532.8999999999999</v>
      </c>
      <c r="W7" s="35">
        <f t="shared" si="1"/>
        <v>1532.8999999999999</v>
      </c>
      <c r="X7" s="35">
        <f t="shared" si="1"/>
        <v>1471.7999999999997</v>
      </c>
      <c r="Y7" s="35">
        <f t="shared" si="1"/>
        <v>1518.3999999999999</v>
      </c>
      <c r="Z7" s="35">
        <f t="shared" si="1"/>
        <v>1589.1999999999998</v>
      </c>
      <c r="AA7" s="35">
        <f t="shared" si="1"/>
        <v>1613.3999999999996</v>
      </c>
      <c r="AB7" s="35">
        <f t="shared" si="1"/>
        <v>1592</v>
      </c>
      <c r="AC7" s="35">
        <f t="shared" si="1"/>
        <v>1571.6999999999998</v>
      </c>
      <c r="AD7" s="35">
        <f t="shared" si="1"/>
        <v>1541.9999999999998</v>
      </c>
      <c r="AE7" s="35">
        <f t="shared" si="1"/>
        <v>1792.8999999999999</v>
      </c>
      <c r="AF7" s="35">
        <f t="shared" si="1"/>
        <v>1872.8999999999999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>
        <v>90</v>
      </c>
      <c r="V11" s="45">
        <v>90</v>
      </c>
      <c r="W11" s="45">
        <v>90</v>
      </c>
      <c r="X11" s="45">
        <v>0</v>
      </c>
      <c r="Y11" s="45">
        <v>0</v>
      </c>
      <c r="Z11" s="45">
        <v>0</v>
      </c>
      <c r="AA11" s="45">
        <v>29.3</v>
      </c>
      <c r="AB11" s="45">
        <v>29.3</v>
      </c>
      <c r="AC11" s="45">
        <v>57.3</v>
      </c>
      <c r="AD11" s="45">
        <v>57.3</v>
      </c>
      <c r="AE11" s="45">
        <v>60</v>
      </c>
      <c r="AF11" s="45">
        <v>89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9</v>
      </c>
      <c r="C12" s="45">
        <v>0</v>
      </c>
      <c r="D12" s="45">
        <v>0</v>
      </c>
      <c r="E12" s="45">
        <v>0</v>
      </c>
      <c r="F12" s="45">
        <v>0</v>
      </c>
      <c r="G12" s="45">
        <v>9</v>
      </c>
      <c r="H12" s="45">
        <v>9</v>
      </c>
      <c r="I12" s="45">
        <v>9</v>
      </c>
      <c r="J12" s="45">
        <v>9</v>
      </c>
      <c r="K12" s="45">
        <v>9</v>
      </c>
      <c r="L12" s="45">
        <v>9</v>
      </c>
      <c r="M12" s="45">
        <v>9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28.4</v>
      </c>
      <c r="C13" s="45">
        <v>28.4</v>
      </c>
      <c r="D13" s="45">
        <v>28.4</v>
      </c>
      <c r="E13" s="45">
        <v>28.4</v>
      </c>
      <c r="F13" s="45">
        <v>28.4</v>
      </c>
      <c r="G13" s="45">
        <v>28.4</v>
      </c>
      <c r="H13" s="45">
        <v>28.4</v>
      </c>
      <c r="I13" s="45">
        <v>28.4</v>
      </c>
      <c r="J13" s="45">
        <v>28.4</v>
      </c>
      <c r="K13" s="45">
        <v>28.4</v>
      </c>
      <c r="L13" s="45">
        <v>28.4</v>
      </c>
      <c r="M13" s="45">
        <v>28.4</v>
      </c>
      <c r="N13" s="45">
        <v>28.4</v>
      </c>
      <c r="O13" s="45">
        <v>28.4</v>
      </c>
      <c r="P13" s="45">
        <v>28.4</v>
      </c>
      <c r="Q13" s="45">
        <v>28.4</v>
      </c>
      <c r="R13" s="45">
        <v>28.4</v>
      </c>
      <c r="S13" s="45">
        <v>28.4</v>
      </c>
      <c r="T13" s="45">
        <v>28.4</v>
      </c>
      <c r="U13" s="45">
        <v>28.4</v>
      </c>
      <c r="V13" s="45">
        <v>28.4</v>
      </c>
      <c r="W13" s="45">
        <v>28.4</v>
      </c>
      <c r="X13" s="45">
        <v>28.4</v>
      </c>
      <c r="Y13" s="45">
        <v>28.4</v>
      </c>
      <c r="Z13" s="45">
        <v>28.4</v>
      </c>
      <c r="AA13" s="45">
        <v>28.4</v>
      </c>
      <c r="AB13" s="45">
        <v>28.4</v>
      </c>
      <c r="AC13" s="45">
        <v>28.4</v>
      </c>
      <c r="AD13" s="45">
        <v>28.4</v>
      </c>
      <c r="AE13" s="45">
        <v>28.4</v>
      </c>
      <c r="AF13" s="45">
        <v>28.4</v>
      </c>
      <c r="AG13" s="46">
        <v>52.4</v>
      </c>
      <c r="AH13" s="47">
        <f t="shared" si="2"/>
        <v>28.4</v>
      </c>
      <c r="AI13" s="48">
        <f t="shared" si="3"/>
        <v>28.4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50.8</v>
      </c>
      <c r="C14" s="58">
        <v>50.8</v>
      </c>
      <c r="D14" s="58">
        <v>50.8</v>
      </c>
      <c r="E14" s="58">
        <v>50.8</v>
      </c>
      <c r="F14" s="58">
        <v>50.8</v>
      </c>
      <c r="G14" s="58">
        <v>50.8</v>
      </c>
      <c r="H14" s="58">
        <v>50.8</v>
      </c>
      <c r="I14" s="58">
        <v>50.8</v>
      </c>
      <c r="J14" s="58">
        <v>50.8</v>
      </c>
      <c r="K14" s="58">
        <v>50.8</v>
      </c>
      <c r="L14" s="58">
        <v>50.8</v>
      </c>
      <c r="M14" s="58">
        <v>50.8</v>
      </c>
      <c r="N14" s="58">
        <v>50.8</v>
      </c>
      <c r="O14" s="58">
        <v>50.8</v>
      </c>
      <c r="P14" s="58">
        <v>50.8</v>
      </c>
      <c r="Q14" s="58">
        <v>50.8</v>
      </c>
      <c r="R14" s="58">
        <v>50.8</v>
      </c>
      <c r="S14" s="58">
        <v>50.8</v>
      </c>
      <c r="T14" s="58">
        <v>50.8</v>
      </c>
      <c r="U14" s="58">
        <v>50.8</v>
      </c>
      <c r="V14" s="58">
        <v>50.8</v>
      </c>
      <c r="W14" s="58">
        <v>50.8</v>
      </c>
      <c r="X14" s="58">
        <v>50.8</v>
      </c>
      <c r="Y14" s="58">
        <v>50.8</v>
      </c>
      <c r="Z14" s="45">
        <v>50.8</v>
      </c>
      <c r="AA14" s="45">
        <v>50.8</v>
      </c>
      <c r="AB14" s="45">
        <v>50.8</v>
      </c>
      <c r="AC14" s="45">
        <v>50.8</v>
      </c>
      <c r="AD14" s="45">
        <v>50.8</v>
      </c>
      <c r="AE14" s="45">
        <v>50.8</v>
      </c>
      <c r="AF14" s="45">
        <v>50.8</v>
      </c>
      <c r="AG14" s="49">
        <v>50</v>
      </c>
      <c r="AH14" s="47">
        <f t="shared" si="2"/>
        <v>50.8</v>
      </c>
      <c r="AI14" s="48">
        <f t="shared" si="3"/>
        <v>50.8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46.7</v>
      </c>
      <c r="E15" s="45">
        <v>46.7</v>
      </c>
      <c r="F15" s="45">
        <v>46.7</v>
      </c>
      <c r="G15" s="45">
        <v>46.7</v>
      </c>
      <c r="H15" s="45">
        <v>46.7</v>
      </c>
      <c r="I15" s="45">
        <v>46.7</v>
      </c>
      <c r="J15" s="45">
        <v>46.7</v>
      </c>
      <c r="K15" s="45">
        <v>46.7</v>
      </c>
      <c r="L15" s="45">
        <v>46.7</v>
      </c>
      <c r="M15" s="45">
        <v>46.7</v>
      </c>
      <c r="N15" s="45">
        <v>46.7</v>
      </c>
      <c r="O15" s="45">
        <v>46.7</v>
      </c>
      <c r="P15" s="45">
        <v>46.7</v>
      </c>
      <c r="Q15" s="45">
        <v>46.7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46.7</v>
      </c>
      <c r="AC15" s="45">
        <v>46.7</v>
      </c>
      <c r="AD15" s="45">
        <v>46.7</v>
      </c>
      <c r="AE15" s="45">
        <v>46.7</v>
      </c>
      <c r="AF15" s="45">
        <v>46.7</v>
      </c>
      <c r="AG15" s="49">
        <v>45</v>
      </c>
      <c r="AH15" s="47">
        <f t="shared" si="2"/>
        <v>46.7</v>
      </c>
      <c r="AI15" s="48">
        <f t="shared" si="3"/>
        <v>46.7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15</v>
      </c>
      <c r="L16" s="45">
        <v>20</v>
      </c>
      <c r="M16" s="45">
        <v>20</v>
      </c>
      <c r="N16" s="45">
        <v>30</v>
      </c>
      <c r="O16" s="45">
        <v>30</v>
      </c>
      <c r="P16" s="45">
        <v>30</v>
      </c>
      <c r="Q16" s="45">
        <v>30</v>
      </c>
      <c r="R16" s="45">
        <v>30</v>
      </c>
      <c r="S16" s="45">
        <v>30</v>
      </c>
      <c r="T16" s="45">
        <v>30</v>
      </c>
      <c r="U16" s="45">
        <v>0</v>
      </c>
      <c r="V16" s="45">
        <v>30</v>
      </c>
      <c r="W16" s="45">
        <v>30</v>
      </c>
      <c r="X16" s="45">
        <v>30</v>
      </c>
      <c r="Y16" s="45">
        <v>30</v>
      </c>
      <c r="Z16" s="45">
        <v>30</v>
      </c>
      <c r="AA16" s="45">
        <v>30</v>
      </c>
      <c r="AB16" s="45">
        <v>30</v>
      </c>
      <c r="AC16" s="45">
        <v>30</v>
      </c>
      <c r="AD16" s="45">
        <v>30</v>
      </c>
      <c r="AE16" s="45">
        <v>30</v>
      </c>
      <c r="AF16" s="45">
        <v>30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10</v>
      </c>
      <c r="L17" s="45">
        <v>17.899999999999999</v>
      </c>
      <c r="M17" s="45">
        <v>17.899999999999999</v>
      </c>
      <c r="N17" s="45">
        <v>26</v>
      </c>
      <c r="O17" s="45">
        <v>26</v>
      </c>
      <c r="P17" s="45">
        <v>26</v>
      </c>
      <c r="Q17" s="45">
        <v>26</v>
      </c>
      <c r="R17" s="45">
        <v>26</v>
      </c>
      <c r="S17" s="45">
        <v>22</v>
      </c>
      <c r="T17" s="45">
        <v>20</v>
      </c>
      <c r="U17" s="45">
        <v>0</v>
      </c>
      <c r="V17" s="45">
        <v>20</v>
      </c>
      <c r="W17" s="45">
        <v>20</v>
      </c>
      <c r="X17" s="45">
        <v>20</v>
      </c>
      <c r="Y17" s="45">
        <v>20</v>
      </c>
      <c r="Z17" s="45">
        <v>20</v>
      </c>
      <c r="AA17" s="45">
        <v>20</v>
      </c>
      <c r="AB17" s="45">
        <v>20</v>
      </c>
      <c r="AC17" s="45">
        <v>20</v>
      </c>
      <c r="AD17" s="45">
        <v>20</v>
      </c>
      <c r="AE17" s="45">
        <v>31</v>
      </c>
      <c r="AF17" s="45">
        <v>31</v>
      </c>
      <c r="AG17" s="49">
        <v>42</v>
      </c>
      <c r="AH17" s="47">
        <f t="shared" si="2"/>
        <v>31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>
        <v>38.5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35</v>
      </c>
      <c r="C19" s="45">
        <v>35</v>
      </c>
      <c r="D19" s="45">
        <v>35</v>
      </c>
      <c r="E19" s="45">
        <v>35</v>
      </c>
      <c r="F19" s="45">
        <v>35</v>
      </c>
      <c r="G19" s="45">
        <v>35</v>
      </c>
      <c r="H19" s="45">
        <v>35</v>
      </c>
      <c r="I19" s="45">
        <v>35</v>
      </c>
      <c r="J19" s="45">
        <v>35</v>
      </c>
      <c r="K19" s="45">
        <v>35</v>
      </c>
      <c r="L19" s="45">
        <v>35</v>
      </c>
      <c r="M19" s="45">
        <v>35</v>
      </c>
      <c r="N19" s="45">
        <v>35</v>
      </c>
      <c r="O19" s="45">
        <v>35</v>
      </c>
      <c r="P19" s="45">
        <v>35</v>
      </c>
      <c r="Q19" s="45">
        <v>35</v>
      </c>
      <c r="R19" s="45">
        <v>0</v>
      </c>
      <c r="S19" s="45">
        <v>0</v>
      </c>
      <c r="T19" s="45">
        <v>0</v>
      </c>
      <c r="U19" s="45">
        <v>0</v>
      </c>
      <c r="V19" s="45">
        <v>23</v>
      </c>
      <c r="W19" s="45">
        <v>23</v>
      </c>
      <c r="X19" s="45">
        <v>23</v>
      </c>
      <c r="Y19" s="45">
        <v>23</v>
      </c>
      <c r="Z19" s="45">
        <v>23</v>
      </c>
      <c r="AA19" s="45">
        <v>23</v>
      </c>
      <c r="AB19" s="45">
        <v>23</v>
      </c>
      <c r="AC19" s="45">
        <v>23</v>
      </c>
      <c r="AD19" s="45">
        <v>23</v>
      </c>
      <c r="AE19" s="45">
        <v>23</v>
      </c>
      <c r="AF19" s="45">
        <v>23</v>
      </c>
      <c r="AG19" s="49">
        <v>36</v>
      </c>
      <c r="AH19" s="47">
        <f t="shared" si="2"/>
        <v>35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0</v>
      </c>
      <c r="D20" s="45">
        <v>0</v>
      </c>
      <c r="E20" s="45">
        <v>0</v>
      </c>
      <c r="F20" s="45">
        <v>0</v>
      </c>
      <c r="G20" s="45">
        <v>15</v>
      </c>
      <c r="H20" s="45">
        <v>5</v>
      </c>
      <c r="I20" s="45">
        <v>5</v>
      </c>
      <c r="J20" s="45">
        <v>5</v>
      </c>
      <c r="K20" s="45">
        <v>5</v>
      </c>
      <c r="L20" s="45">
        <v>5</v>
      </c>
      <c r="M20" s="45">
        <v>5</v>
      </c>
      <c r="N20" s="45">
        <v>18.600000000000001</v>
      </c>
      <c r="O20" s="45">
        <v>18.600000000000001</v>
      </c>
      <c r="P20" s="45">
        <v>25.4</v>
      </c>
      <c r="Q20" s="45">
        <v>25.4</v>
      </c>
      <c r="R20" s="45">
        <v>21.2</v>
      </c>
      <c r="S20" s="45">
        <v>21.2</v>
      </c>
      <c r="T20" s="45">
        <v>21.2</v>
      </c>
      <c r="U20" s="45">
        <v>21.2</v>
      </c>
      <c r="V20" s="45">
        <v>16</v>
      </c>
      <c r="W20" s="45">
        <v>16</v>
      </c>
      <c r="X20" s="45">
        <v>16</v>
      </c>
      <c r="Y20" s="45">
        <v>16</v>
      </c>
      <c r="Z20" s="45">
        <v>29.6</v>
      </c>
      <c r="AA20" s="45">
        <v>21</v>
      </c>
      <c r="AB20" s="45">
        <v>21</v>
      </c>
      <c r="AC20" s="45">
        <v>21</v>
      </c>
      <c r="AD20" s="45">
        <v>21</v>
      </c>
      <c r="AE20" s="45">
        <v>5</v>
      </c>
      <c r="AF20" s="45">
        <v>0</v>
      </c>
      <c r="AG20" s="51">
        <v>30</v>
      </c>
      <c r="AH20" s="47">
        <f t="shared" si="2"/>
        <v>29.6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25.8</v>
      </c>
      <c r="C21" s="45">
        <v>25.8</v>
      </c>
      <c r="D21" s="45">
        <v>25.8</v>
      </c>
      <c r="E21" s="45">
        <v>25.8</v>
      </c>
      <c r="F21" s="45">
        <v>25.8</v>
      </c>
      <c r="G21" s="45">
        <v>25.8</v>
      </c>
      <c r="H21" s="45">
        <v>25.8</v>
      </c>
      <c r="I21" s="45">
        <v>25.8</v>
      </c>
      <c r="J21" s="45">
        <v>25.8</v>
      </c>
      <c r="K21" s="45">
        <v>25.8</v>
      </c>
      <c r="L21" s="45">
        <v>25.8</v>
      </c>
      <c r="M21" s="45">
        <v>25.8</v>
      </c>
      <c r="N21" s="45">
        <v>26.8</v>
      </c>
      <c r="O21" s="45">
        <v>26.8</v>
      </c>
      <c r="P21" s="45">
        <v>26.8</v>
      </c>
      <c r="Q21" s="45">
        <v>26.8</v>
      </c>
      <c r="R21" s="45">
        <v>26.8</v>
      </c>
      <c r="S21" s="45">
        <v>26.8</v>
      </c>
      <c r="T21" s="45">
        <v>26.8</v>
      </c>
      <c r="U21" s="45">
        <v>26.8</v>
      </c>
      <c r="V21" s="45">
        <v>26.8</v>
      </c>
      <c r="W21" s="45">
        <v>26.8</v>
      </c>
      <c r="X21" s="45">
        <v>26.8</v>
      </c>
      <c r="Y21" s="45">
        <v>26.8</v>
      </c>
      <c r="Z21" s="45">
        <v>26.8</v>
      </c>
      <c r="AA21" s="45">
        <v>26.8</v>
      </c>
      <c r="AB21" s="45">
        <v>26.8</v>
      </c>
      <c r="AC21" s="45">
        <v>26.8</v>
      </c>
      <c r="AD21" s="45">
        <v>26.8</v>
      </c>
      <c r="AE21" s="45">
        <v>20</v>
      </c>
      <c r="AF21" s="45">
        <v>20</v>
      </c>
      <c r="AG21" s="49">
        <v>24.2</v>
      </c>
      <c r="AH21" s="47">
        <f t="shared" si="2"/>
        <v>26.8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28.5</v>
      </c>
      <c r="C22" s="45">
        <v>28.5</v>
      </c>
      <c r="D22" s="45">
        <v>28.5</v>
      </c>
      <c r="E22" s="45">
        <v>28.5</v>
      </c>
      <c r="F22" s="45">
        <v>28.5</v>
      </c>
      <c r="G22" s="45">
        <v>28.5</v>
      </c>
      <c r="H22" s="45">
        <v>28.5</v>
      </c>
      <c r="I22" s="45">
        <v>28.5</v>
      </c>
      <c r="J22" s="45">
        <v>28.5</v>
      </c>
      <c r="K22" s="45">
        <v>28.5</v>
      </c>
      <c r="L22" s="45">
        <v>28.5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20</v>
      </c>
      <c r="AF22" s="45">
        <v>20</v>
      </c>
      <c r="AG22" s="49">
        <v>28</v>
      </c>
      <c r="AH22" s="47">
        <f t="shared" si="2"/>
        <v>28.5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4.5</v>
      </c>
      <c r="C23" s="45">
        <v>0</v>
      </c>
      <c r="D23" s="45">
        <v>0</v>
      </c>
      <c r="E23" s="45">
        <v>0</v>
      </c>
      <c r="F23" s="45">
        <v>0</v>
      </c>
      <c r="G23" s="45">
        <v>4.5</v>
      </c>
      <c r="H23" s="45">
        <v>4.5</v>
      </c>
      <c r="I23" s="45">
        <v>4.5</v>
      </c>
      <c r="J23" s="45">
        <v>4.5</v>
      </c>
      <c r="K23" s="45">
        <v>4.5</v>
      </c>
      <c r="L23" s="45">
        <v>9</v>
      </c>
      <c r="M23" s="45">
        <v>9</v>
      </c>
      <c r="N23" s="45">
        <v>9</v>
      </c>
      <c r="O23" s="45">
        <v>9</v>
      </c>
      <c r="P23" s="45">
        <v>9</v>
      </c>
      <c r="Q23" s="45">
        <v>9</v>
      </c>
      <c r="R23" s="45">
        <v>9</v>
      </c>
      <c r="S23" s="45">
        <v>13</v>
      </c>
      <c r="T23" s="45">
        <v>12</v>
      </c>
      <c r="U23" s="45">
        <v>12</v>
      </c>
      <c r="V23" s="45">
        <v>9</v>
      </c>
      <c r="W23" s="45">
        <v>9</v>
      </c>
      <c r="X23" s="45">
        <v>9</v>
      </c>
      <c r="Y23" s="45">
        <v>9</v>
      </c>
      <c r="Z23" s="45">
        <v>22</v>
      </c>
      <c r="AA23" s="45">
        <v>22</v>
      </c>
      <c r="AB23" s="45">
        <v>22</v>
      </c>
      <c r="AC23" s="45">
        <v>22</v>
      </c>
      <c r="AD23" s="45">
        <v>22</v>
      </c>
      <c r="AE23" s="45">
        <v>4.5</v>
      </c>
      <c r="AF23" s="45">
        <v>0</v>
      </c>
      <c r="AG23" s="51">
        <v>30</v>
      </c>
      <c r="AH23" s="47">
        <f t="shared" si="2"/>
        <v>22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26.2</v>
      </c>
      <c r="C24" s="45">
        <v>26.2</v>
      </c>
      <c r="D24" s="45">
        <v>26.2</v>
      </c>
      <c r="E24" s="45">
        <v>26.2</v>
      </c>
      <c r="F24" s="45">
        <v>26.2</v>
      </c>
      <c r="G24" s="45">
        <v>26.2</v>
      </c>
      <c r="H24" s="45">
        <v>26.2</v>
      </c>
      <c r="I24" s="45">
        <v>26.2</v>
      </c>
      <c r="J24" s="45">
        <v>26.2</v>
      </c>
      <c r="K24" s="45">
        <v>10</v>
      </c>
      <c r="L24" s="45">
        <v>10</v>
      </c>
      <c r="M24" s="45">
        <v>10</v>
      </c>
      <c r="N24" s="45">
        <v>10</v>
      </c>
      <c r="O24" s="45">
        <v>10</v>
      </c>
      <c r="P24" s="45">
        <v>10</v>
      </c>
      <c r="Q24" s="45">
        <v>10</v>
      </c>
      <c r="R24" s="45">
        <v>10</v>
      </c>
      <c r="S24" s="45">
        <v>20</v>
      </c>
      <c r="T24" s="45">
        <v>18</v>
      </c>
      <c r="U24" s="45">
        <v>18</v>
      </c>
      <c r="V24" s="45">
        <v>18</v>
      </c>
      <c r="W24" s="45">
        <v>18</v>
      </c>
      <c r="X24" s="45">
        <v>18</v>
      </c>
      <c r="Y24" s="45">
        <v>18</v>
      </c>
      <c r="Z24" s="45">
        <v>18</v>
      </c>
      <c r="AA24" s="45">
        <v>18</v>
      </c>
      <c r="AB24" s="45">
        <v>18</v>
      </c>
      <c r="AC24" s="45">
        <v>18</v>
      </c>
      <c r="AD24" s="45">
        <v>18</v>
      </c>
      <c r="AE24" s="45">
        <v>26</v>
      </c>
      <c r="AF24" s="45">
        <v>26</v>
      </c>
      <c r="AG24" s="49">
        <v>25</v>
      </c>
      <c r="AH24" s="47">
        <f t="shared" si="2"/>
        <v>26.2</v>
      </c>
      <c r="AI24" s="48">
        <f t="shared" si="3"/>
        <v>10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4.5</v>
      </c>
      <c r="C27" s="45">
        <v>0</v>
      </c>
      <c r="D27" s="45">
        <v>0</v>
      </c>
      <c r="E27" s="45">
        <v>0</v>
      </c>
      <c r="F27" s="45">
        <v>0</v>
      </c>
      <c r="G27" s="45">
        <v>4.5</v>
      </c>
      <c r="H27" s="45">
        <v>4.5</v>
      </c>
      <c r="I27" s="45">
        <v>4.5</v>
      </c>
      <c r="J27" s="45">
        <v>4.5</v>
      </c>
      <c r="K27" s="45">
        <v>4.5</v>
      </c>
      <c r="L27" s="45">
        <v>8.5</v>
      </c>
      <c r="M27" s="45">
        <v>8.5</v>
      </c>
      <c r="N27" s="45">
        <v>12</v>
      </c>
      <c r="O27" s="45">
        <v>12</v>
      </c>
      <c r="P27" s="45">
        <v>12</v>
      </c>
      <c r="Q27" s="45">
        <v>12</v>
      </c>
      <c r="R27" s="45">
        <v>12</v>
      </c>
      <c r="S27" s="45">
        <v>16</v>
      </c>
      <c r="T27" s="45">
        <v>12</v>
      </c>
      <c r="U27" s="45">
        <v>12</v>
      </c>
      <c r="V27" s="45">
        <v>8</v>
      </c>
      <c r="W27" s="45">
        <v>8</v>
      </c>
      <c r="X27" s="45">
        <v>8</v>
      </c>
      <c r="Y27" s="45">
        <v>8</v>
      </c>
      <c r="Z27" s="45">
        <v>20</v>
      </c>
      <c r="AA27" s="45">
        <v>20</v>
      </c>
      <c r="AB27" s="45">
        <v>20</v>
      </c>
      <c r="AC27" s="45">
        <v>20</v>
      </c>
      <c r="AD27" s="45">
        <v>20</v>
      </c>
      <c r="AE27" s="45">
        <v>4.5</v>
      </c>
      <c r="AF27" s="45">
        <v>0</v>
      </c>
      <c r="AG27" s="49">
        <v>25</v>
      </c>
      <c r="AH27" s="47">
        <f t="shared" si="2"/>
        <v>20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20.3</v>
      </c>
      <c r="C32" s="45">
        <v>20.3</v>
      </c>
      <c r="D32" s="45">
        <v>20.3</v>
      </c>
      <c r="E32" s="45">
        <v>20.3</v>
      </c>
      <c r="F32" s="45">
        <v>20.3</v>
      </c>
      <c r="G32" s="45">
        <v>20.3</v>
      </c>
      <c r="H32" s="45">
        <v>20.3</v>
      </c>
      <c r="I32" s="45">
        <v>20.3</v>
      </c>
      <c r="J32" s="45">
        <v>20.3</v>
      </c>
      <c r="K32" s="45">
        <v>20.3</v>
      </c>
      <c r="L32" s="45">
        <v>20.3</v>
      </c>
      <c r="M32" s="45">
        <v>20.3</v>
      </c>
      <c r="N32" s="45">
        <v>20.3</v>
      </c>
      <c r="O32" s="45">
        <v>20.3</v>
      </c>
      <c r="P32" s="45">
        <v>20.3</v>
      </c>
      <c r="Q32" s="45">
        <v>20.3</v>
      </c>
      <c r="R32" s="45">
        <v>20.3</v>
      </c>
      <c r="S32" s="45">
        <v>20.3</v>
      </c>
      <c r="T32" s="45">
        <v>20.3</v>
      </c>
      <c r="U32" s="45">
        <v>20.3</v>
      </c>
      <c r="V32" s="45">
        <v>20.3</v>
      </c>
      <c r="W32" s="45">
        <v>20.3</v>
      </c>
      <c r="X32" s="45">
        <v>20.3</v>
      </c>
      <c r="Y32" s="45">
        <v>20.3</v>
      </c>
      <c r="Z32" s="45">
        <v>20.3</v>
      </c>
      <c r="AA32" s="45">
        <v>20.3</v>
      </c>
      <c r="AB32" s="45">
        <v>20.3</v>
      </c>
      <c r="AC32" s="45">
        <v>20.3</v>
      </c>
      <c r="AD32" s="45">
        <v>20.3</v>
      </c>
      <c r="AE32" s="45">
        <v>20.3</v>
      </c>
      <c r="AF32" s="45">
        <v>20.3</v>
      </c>
      <c r="AG32" s="49">
        <v>22</v>
      </c>
      <c r="AH32" s="47">
        <f t="shared" si="2"/>
        <v>20.3</v>
      </c>
      <c r="AI32" s="48">
        <f t="shared" si="3"/>
        <v>20.3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0</v>
      </c>
      <c r="F33" s="45">
        <v>0</v>
      </c>
      <c r="G33" s="45">
        <v>4</v>
      </c>
      <c r="H33" s="45">
        <v>4</v>
      </c>
      <c r="I33" s="45">
        <v>4</v>
      </c>
      <c r="J33" s="45">
        <v>4</v>
      </c>
      <c r="K33" s="45">
        <v>4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>
        <v>4</v>
      </c>
      <c r="AA33" s="45">
        <v>4</v>
      </c>
      <c r="AB33" s="45">
        <v>4</v>
      </c>
      <c r="AC33" s="45">
        <v>4</v>
      </c>
      <c r="AD33" s="45">
        <v>4</v>
      </c>
      <c r="AE33" s="45">
        <v>4</v>
      </c>
      <c r="AF33" s="45">
        <v>4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4</v>
      </c>
      <c r="C34" s="45">
        <v>4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4</v>
      </c>
      <c r="AA34" s="45">
        <v>4</v>
      </c>
      <c r="AB34" s="45">
        <v>4</v>
      </c>
      <c r="AC34" s="45">
        <v>4</v>
      </c>
      <c r="AD34" s="45">
        <v>4</v>
      </c>
      <c r="AE34" s="45">
        <v>3.5</v>
      </c>
      <c r="AF34" s="45">
        <v>3.5</v>
      </c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15.56</v>
      </c>
      <c r="C35" s="45">
        <v>15.56</v>
      </c>
      <c r="D35" s="45">
        <v>15.56</v>
      </c>
      <c r="E35" s="45">
        <v>15.56</v>
      </c>
      <c r="F35" s="45">
        <v>15.56</v>
      </c>
      <c r="G35" s="45">
        <v>15.56</v>
      </c>
      <c r="H35" s="45">
        <v>15.56</v>
      </c>
      <c r="I35" s="45">
        <v>15.56</v>
      </c>
      <c r="J35" s="45">
        <v>15.56</v>
      </c>
      <c r="K35" s="45">
        <v>15.56</v>
      </c>
      <c r="L35" s="45">
        <v>15.56</v>
      </c>
      <c r="M35" s="45">
        <v>15.56</v>
      </c>
      <c r="N35" s="45">
        <v>15.56</v>
      </c>
      <c r="O35" s="45">
        <v>15.56</v>
      </c>
      <c r="P35" s="45">
        <v>15.56</v>
      </c>
      <c r="Q35" s="45">
        <v>15.56</v>
      </c>
      <c r="R35" s="45">
        <v>15.56</v>
      </c>
      <c r="S35" s="45">
        <v>15.56</v>
      </c>
      <c r="T35" s="45">
        <v>15.56</v>
      </c>
      <c r="U35" s="45">
        <v>15.56</v>
      </c>
      <c r="V35" s="45">
        <v>15.56</v>
      </c>
      <c r="W35" s="45">
        <v>15.56</v>
      </c>
      <c r="X35" s="45">
        <v>15.56</v>
      </c>
      <c r="Y35" s="45">
        <v>15.56</v>
      </c>
      <c r="Z35" s="45">
        <v>15.56</v>
      </c>
      <c r="AA35" s="45">
        <v>15.56</v>
      </c>
      <c r="AB35" s="45">
        <v>15.56</v>
      </c>
      <c r="AC35" s="45">
        <v>15.56</v>
      </c>
      <c r="AD35" s="45">
        <v>15.56</v>
      </c>
      <c r="AE35" s="45">
        <v>15.56</v>
      </c>
      <c r="AF35" s="45">
        <v>15.56</v>
      </c>
      <c r="AG35" s="49">
        <v>14.9</v>
      </c>
      <c r="AH35" s="47">
        <f t="shared" si="2"/>
        <v>15.56</v>
      </c>
      <c r="AI35" s="48">
        <f t="shared" si="3"/>
        <v>15.56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9</v>
      </c>
      <c r="O38" s="45">
        <v>9</v>
      </c>
      <c r="P38" s="45">
        <v>9</v>
      </c>
      <c r="Q38" s="45">
        <v>9</v>
      </c>
      <c r="R38" s="45">
        <v>9</v>
      </c>
      <c r="S38" s="45">
        <v>9</v>
      </c>
      <c r="T38" s="45">
        <v>9</v>
      </c>
      <c r="U38" s="45">
        <v>9</v>
      </c>
      <c r="V38" s="45">
        <v>9</v>
      </c>
      <c r="W38" s="45">
        <v>9</v>
      </c>
      <c r="X38" s="45">
        <v>9</v>
      </c>
      <c r="Y38" s="45">
        <v>9</v>
      </c>
      <c r="Z38" s="45">
        <v>9</v>
      </c>
      <c r="AA38" s="45">
        <v>9</v>
      </c>
      <c r="AB38" s="45">
        <v>9</v>
      </c>
      <c r="AC38" s="45">
        <v>9</v>
      </c>
      <c r="AD38" s="45">
        <v>9</v>
      </c>
      <c r="AE38" s="45">
        <v>9</v>
      </c>
      <c r="AF38" s="45">
        <v>9</v>
      </c>
      <c r="AG38" s="49">
        <v>13</v>
      </c>
      <c r="AH38" s="47">
        <f t="shared" si="2"/>
        <v>12</v>
      </c>
      <c r="AI38" s="48">
        <f t="shared" si="3"/>
        <v>9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0</v>
      </c>
      <c r="E39" s="45">
        <v>0</v>
      </c>
      <c r="F39" s="45">
        <v>0</v>
      </c>
      <c r="G39" s="45">
        <v>2</v>
      </c>
      <c r="H39" s="45">
        <v>2</v>
      </c>
      <c r="I39" s="45">
        <v>2</v>
      </c>
      <c r="J39" s="45">
        <v>2</v>
      </c>
      <c r="K39" s="45">
        <v>2</v>
      </c>
      <c r="L39" s="45">
        <v>2</v>
      </c>
      <c r="M39" s="45">
        <v>2</v>
      </c>
      <c r="N39" s="45">
        <v>6</v>
      </c>
      <c r="O39" s="45">
        <v>6</v>
      </c>
      <c r="P39" s="45">
        <v>6</v>
      </c>
      <c r="Q39" s="45">
        <v>6</v>
      </c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>
        <v>6</v>
      </c>
      <c r="X39" s="45">
        <v>6</v>
      </c>
      <c r="Y39" s="45">
        <v>6</v>
      </c>
      <c r="Z39" s="45">
        <v>8</v>
      </c>
      <c r="AA39" s="45">
        <v>8</v>
      </c>
      <c r="AB39" s="45">
        <v>8</v>
      </c>
      <c r="AC39" s="45">
        <v>8</v>
      </c>
      <c r="AD39" s="45">
        <v>8</v>
      </c>
      <c r="AE39" s="45">
        <v>2</v>
      </c>
      <c r="AF39" s="45">
        <v>0</v>
      </c>
      <c r="AG39" s="49">
        <v>12</v>
      </c>
      <c r="AH39" s="47">
        <f t="shared" si="2"/>
        <v>8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4</v>
      </c>
      <c r="C40" s="45">
        <v>4</v>
      </c>
      <c r="D40" s="45">
        <v>4</v>
      </c>
      <c r="E40" s="45">
        <v>4</v>
      </c>
      <c r="F40" s="45">
        <v>4</v>
      </c>
      <c r="G40" s="45">
        <v>4</v>
      </c>
      <c r="H40" s="45">
        <v>4</v>
      </c>
      <c r="I40" s="45">
        <v>4</v>
      </c>
      <c r="J40" s="45">
        <v>4</v>
      </c>
      <c r="K40" s="45">
        <v>4</v>
      </c>
      <c r="L40" s="45">
        <v>4</v>
      </c>
      <c r="M40" s="45">
        <v>4</v>
      </c>
      <c r="N40" s="45">
        <v>4</v>
      </c>
      <c r="O40" s="45">
        <v>4</v>
      </c>
      <c r="P40" s="45">
        <v>4</v>
      </c>
      <c r="Q40" s="45">
        <v>4</v>
      </c>
      <c r="R40" s="45">
        <v>4</v>
      </c>
      <c r="S40" s="45">
        <v>4</v>
      </c>
      <c r="T40" s="45">
        <v>4</v>
      </c>
      <c r="U40" s="45">
        <v>4</v>
      </c>
      <c r="V40" s="45">
        <v>3</v>
      </c>
      <c r="W40" s="45">
        <v>3</v>
      </c>
      <c r="X40" s="45">
        <v>3</v>
      </c>
      <c r="Y40" s="45">
        <v>3</v>
      </c>
      <c r="Z40" s="45">
        <v>3</v>
      </c>
      <c r="AA40" s="45">
        <v>3</v>
      </c>
      <c r="AB40" s="45">
        <v>3</v>
      </c>
      <c r="AC40" s="45">
        <v>3</v>
      </c>
      <c r="AD40" s="45">
        <v>3</v>
      </c>
      <c r="AE40" s="45">
        <v>3</v>
      </c>
      <c r="AF40" s="45">
        <v>3</v>
      </c>
      <c r="AG40" s="49">
        <v>12</v>
      </c>
      <c r="AH40" s="47">
        <f t="shared" si="2"/>
        <v>4</v>
      </c>
      <c r="AI40" s="48">
        <f t="shared" si="3"/>
        <v>3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9</v>
      </c>
      <c r="Q45" s="45">
        <v>9</v>
      </c>
      <c r="R45" s="45">
        <v>9</v>
      </c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9</v>
      </c>
      <c r="AI45" s="48">
        <f t="shared" si="3"/>
        <v>9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380</v>
      </c>
      <c r="C48" s="56">
        <v>380</v>
      </c>
      <c r="D48" s="56">
        <v>380</v>
      </c>
      <c r="E48" s="56">
        <v>380</v>
      </c>
      <c r="F48" s="56">
        <v>380</v>
      </c>
      <c r="G48" s="56">
        <v>380</v>
      </c>
      <c r="H48" s="56">
        <v>380</v>
      </c>
      <c r="I48" s="56">
        <v>380</v>
      </c>
      <c r="J48" s="56">
        <v>380</v>
      </c>
      <c r="K48" s="56">
        <v>380</v>
      </c>
      <c r="L48" s="56">
        <v>380</v>
      </c>
      <c r="M48" s="56">
        <v>380</v>
      </c>
      <c r="N48" s="56">
        <v>380</v>
      </c>
      <c r="O48" s="56">
        <v>380</v>
      </c>
      <c r="P48" s="56">
        <v>380</v>
      </c>
      <c r="Q48" s="56">
        <v>380</v>
      </c>
      <c r="R48" s="56">
        <v>380</v>
      </c>
      <c r="S48" s="56">
        <v>380</v>
      </c>
      <c r="T48" s="56">
        <v>380</v>
      </c>
      <c r="U48" s="56">
        <v>380</v>
      </c>
      <c r="V48" s="56">
        <v>380</v>
      </c>
      <c r="W48" s="56">
        <v>380</v>
      </c>
      <c r="X48" s="56">
        <v>380</v>
      </c>
      <c r="Y48" s="56">
        <v>380</v>
      </c>
      <c r="Z48" s="56">
        <v>380</v>
      </c>
      <c r="AA48" s="56">
        <v>380</v>
      </c>
      <c r="AB48" s="56">
        <v>380</v>
      </c>
      <c r="AC48" s="56">
        <v>380</v>
      </c>
      <c r="AD48" s="56">
        <v>380</v>
      </c>
      <c r="AE48" s="56">
        <v>380</v>
      </c>
      <c r="AF48" s="56">
        <v>380</v>
      </c>
      <c r="AG48" s="54">
        <v>85</v>
      </c>
      <c r="AH48" s="47">
        <f t="shared" si="2"/>
        <v>380</v>
      </c>
      <c r="AI48" s="48">
        <f t="shared" si="3"/>
        <v>380</v>
      </c>
      <c r="AK48" s="50"/>
    </row>
    <row r="49" spans="1:41" ht="15.75" thickBot="1" x14ac:dyDescent="0.3">
      <c r="A49" s="57" t="s">
        <v>57</v>
      </c>
      <c r="B49" s="56"/>
      <c r="C49" s="56">
        <v>122</v>
      </c>
      <c r="D49" s="56">
        <v>122</v>
      </c>
      <c r="E49" s="56">
        <v>122</v>
      </c>
      <c r="F49" s="56">
        <v>122</v>
      </c>
      <c r="G49" s="56">
        <f>32.6+81.9</f>
        <v>114.5</v>
      </c>
      <c r="H49" s="56">
        <f>32.6+81.9</f>
        <v>114.5</v>
      </c>
      <c r="I49" s="56">
        <f>84.6+33.9</f>
        <v>118.5</v>
      </c>
      <c r="J49" s="56">
        <f>84.6+33.9</f>
        <v>118.5</v>
      </c>
      <c r="K49" s="56">
        <f>84.6+33.9</f>
        <v>118.5</v>
      </c>
      <c r="L49" s="56">
        <f>84.6+33.9</f>
        <v>118.5</v>
      </c>
      <c r="M49" s="56">
        <f>84.6+33.9</f>
        <v>118.5</v>
      </c>
      <c r="N49" s="56">
        <f>34.6+86.3</f>
        <v>120.9</v>
      </c>
      <c r="O49" s="58">
        <f>35.5+89.4</f>
        <v>124.9</v>
      </c>
      <c r="P49" s="58">
        <f>35.5+89.4</f>
        <v>124.9</v>
      </c>
      <c r="Q49" s="58">
        <f t="shared" ref="Q49:AA49" si="4">35.5+89.4</f>
        <v>124.9</v>
      </c>
      <c r="R49" s="58">
        <f t="shared" si="4"/>
        <v>124.9</v>
      </c>
      <c r="S49" s="58">
        <f t="shared" si="4"/>
        <v>124.9</v>
      </c>
      <c r="T49" s="58">
        <f t="shared" si="4"/>
        <v>124.9</v>
      </c>
      <c r="U49" s="58">
        <f t="shared" si="4"/>
        <v>124.9</v>
      </c>
      <c r="V49" s="58">
        <f t="shared" si="4"/>
        <v>124.9</v>
      </c>
      <c r="W49" s="58">
        <f t="shared" si="4"/>
        <v>124.9</v>
      </c>
      <c r="X49" s="58">
        <f t="shared" si="4"/>
        <v>124.9</v>
      </c>
      <c r="Y49" s="58">
        <f t="shared" si="4"/>
        <v>124.9</v>
      </c>
      <c r="Z49" s="56">
        <f t="shared" si="4"/>
        <v>124.9</v>
      </c>
      <c r="AA49" s="56">
        <f t="shared" si="4"/>
        <v>124.9</v>
      </c>
      <c r="AB49" s="56">
        <v>118.7</v>
      </c>
      <c r="AC49" s="56">
        <v>119.2</v>
      </c>
      <c r="AD49" s="56"/>
      <c r="AE49" s="56"/>
      <c r="AF49" s="56"/>
      <c r="AG49" s="54">
        <v>240</v>
      </c>
      <c r="AH49" s="47">
        <f t="shared" si="2"/>
        <v>124.9</v>
      </c>
      <c r="AI49" s="48">
        <f t="shared" si="3"/>
        <v>114.5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1078.7599999999998</v>
      </c>
      <c r="C50" s="60">
        <f t="shared" si="5"/>
        <v>1055.76</v>
      </c>
      <c r="D50" s="60">
        <f t="shared" si="5"/>
        <v>1049.76</v>
      </c>
      <c r="E50" s="60">
        <f t="shared" si="5"/>
        <v>1043.76</v>
      </c>
      <c r="F50" s="60">
        <f t="shared" si="5"/>
        <v>1043.76</v>
      </c>
      <c r="G50" s="60">
        <f t="shared" si="5"/>
        <v>1082.7599999999998</v>
      </c>
      <c r="H50" s="60">
        <f t="shared" si="5"/>
        <v>1072.7599999999998</v>
      </c>
      <c r="I50" s="60">
        <f t="shared" si="5"/>
        <v>1072.7599999999998</v>
      </c>
      <c r="J50" s="60">
        <f t="shared" si="5"/>
        <v>1072.7599999999998</v>
      </c>
      <c r="K50" s="60">
        <f t="shared" si="5"/>
        <v>1009.56</v>
      </c>
      <c r="L50" s="60">
        <f t="shared" si="5"/>
        <v>1030.96</v>
      </c>
      <c r="M50" s="60">
        <f t="shared" si="5"/>
        <v>1034.96</v>
      </c>
      <c r="N50" s="60">
        <f t="shared" si="5"/>
        <v>1076.1599999999999</v>
      </c>
      <c r="O50" s="60">
        <f t="shared" si="5"/>
        <v>1076.1599999999999</v>
      </c>
      <c r="P50" s="60">
        <f t="shared" si="5"/>
        <v>1082.96</v>
      </c>
      <c r="Q50" s="60">
        <f t="shared" si="5"/>
        <v>1082.96</v>
      </c>
      <c r="R50" s="60">
        <f t="shared" si="5"/>
        <v>1043.76</v>
      </c>
      <c r="S50" s="60">
        <f t="shared" si="5"/>
        <v>1057.76</v>
      </c>
      <c r="T50" s="60">
        <f t="shared" si="5"/>
        <v>1048.76</v>
      </c>
      <c r="U50" s="60">
        <f t="shared" si="5"/>
        <v>998.76</v>
      </c>
      <c r="V50" s="60">
        <f t="shared" ref="V50:AC50" si="6">SUM(V11:V48)</f>
        <v>1058.56</v>
      </c>
      <c r="W50" s="60">
        <f t="shared" si="6"/>
        <v>1058.56</v>
      </c>
      <c r="X50" s="60">
        <f t="shared" si="6"/>
        <v>968.56000000000006</v>
      </c>
      <c r="Y50" s="60">
        <f t="shared" si="6"/>
        <v>968.56000000000006</v>
      </c>
      <c r="Z50" s="60">
        <f t="shared" si="6"/>
        <v>1009.16</v>
      </c>
      <c r="AA50" s="60">
        <f t="shared" si="6"/>
        <v>1029.8599999999999</v>
      </c>
      <c r="AB50" s="60">
        <f t="shared" si="6"/>
        <v>1029.8599999999999</v>
      </c>
      <c r="AC50" s="60">
        <f t="shared" si="6"/>
        <v>1057.8599999999999</v>
      </c>
      <c r="AD50" s="60">
        <f t="shared" si="5"/>
        <v>1057.8599999999999</v>
      </c>
      <c r="AE50" s="60">
        <f t="shared" si="5"/>
        <v>1008.76</v>
      </c>
      <c r="AF50" s="60">
        <f t="shared" si="5"/>
        <v>1008.76</v>
      </c>
      <c r="AG50" s="61">
        <f>SUM(AG13:AG48)</f>
        <v>922.14</v>
      </c>
      <c r="AH50" s="47">
        <f t="shared" si="2"/>
        <v>1082.96</v>
      </c>
      <c r="AI50" s="48">
        <f t="shared" si="3"/>
        <v>968.56000000000006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150</v>
      </c>
      <c r="G51" s="45">
        <v>0</v>
      </c>
      <c r="H51" s="45">
        <v>0</v>
      </c>
      <c r="I51" s="45">
        <v>0</v>
      </c>
      <c r="J51" s="45">
        <v>0</v>
      </c>
      <c r="K51" s="45">
        <v>0</v>
      </c>
      <c r="L51" s="45">
        <v>0</v>
      </c>
      <c r="M51" s="45">
        <v>0</v>
      </c>
      <c r="N51" s="175">
        <v>0</v>
      </c>
      <c r="O51" s="175">
        <v>0</v>
      </c>
      <c r="P51" s="175">
        <v>0</v>
      </c>
      <c r="Q51" s="175">
        <v>0</v>
      </c>
      <c r="R51" s="175">
        <v>0</v>
      </c>
      <c r="S51" s="175">
        <v>0</v>
      </c>
      <c r="T51" s="175">
        <v>0</v>
      </c>
      <c r="U51" s="175">
        <v>0</v>
      </c>
      <c r="V51" s="175">
        <v>0</v>
      </c>
      <c r="W51" s="175">
        <v>0</v>
      </c>
      <c r="X51" s="175">
        <v>0</v>
      </c>
      <c r="Y51" s="175">
        <v>0</v>
      </c>
      <c r="Z51" s="45">
        <v>0</v>
      </c>
      <c r="AA51" s="45">
        <v>0</v>
      </c>
      <c r="AB51" s="45">
        <v>0</v>
      </c>
      <c r="AC51" s="45">
        <v>0</v>
      </c>
      <c r="AD51" s="45">
        <v>0</v>
      </c>
      <c r="AE51" s="45">
        <v>300</v>
      </c>
      <c r="AF51" s="45">
        <v>380</v>
      </c>
      <c r="AG51" s="51">
        <v>456</v>
      </c>
      <c r="AH51" s="47">
        <f t="shared" si="2"/>
        <v>456</v>
      </c>
      <c r="AI51" s="48">
        <f t="shared" si="3"/>
        <v>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52</v>
      </c>
      <c r="G52" s="64">
        <v>52</v>
      </c>
      <c r="H52" s="64">
        <v>52</v>
      </c>
      <c r="I52" s="64">
        <v>52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52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22.1</v>
      </c>
      <c r="G53" s="66">
        <v>22.1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22.1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538</v>
      </c>
      <c r="C54" s="60">
        <f t="shared" si="7"/>
        <v>538</v>
      </c>
      <c r="D54" s="60">
        <f t="shared" si="7"/>
        <v>538</v>
      </c>
      <c r="E54" s="60">
        <f t="shared" si="7"/>
        <v>538</v>
      </c>
      <c r="F54" s="60">
        <f t="shared" si="7"/>
        <v>224.1</v>
      </c>
      <c r="G54" s="60">
        <f t="shared" si="7"/>
        <v>74.099999999999994</v>
      </c>
      <c r="H54" s="60">
        <f t="shared" si="7"/>
        <v>74</v>
      </c>
      <c r="I54" s="60">
        <f t="shared" si="7"/>
        <v>74</v>
      </c>
      <c r="J54" s="60">
        <f t="shared" si="7"/>
        <v>82</v>
      </c>
      <c r="K54" s="60">
        <f t="shared" si="7"/>
        <v>82</v>
      </c>
      <c r="L54" s="60">
        <f t="shared" si="7"/>
        <v>82</v>
      </c>
      <c r="M54" s="60">
        <f t="shared" si="7"/>
        <v>82</v>
      </c>
      <c r="N54" s="60">
        <f t="shared" si="7"/>
        <v>82</v>
      </c>
      <c r="O54" s="60">
        <f t="shared" si="7"/>
        <v>82</v>
      </c>
      <c r="P54" s="60">
        <f t="shared" si="7"/>
        <v>82</v>
      </c>
      <c r="Q54" s="60">
        <f t="shared" si="7"/>
        <v>82</v>
      </c>
      <c r="R54" s="60">
        <f t="shared" si="7"/>
        <v>82</v>
      </c>
      <c r="S54" s="60">
        <f t="shared" si="7"/>
        <v>82</v>
      </c>
      <c r="T54" s="60">
        <f t="shared" si="7"/>
        <v>82</v>
      </c>
      <c r="U54" s="60">
        <f t="shared" si="7"/>
        <v>82</v>
      </c>
      <c r="V54" s="60">
        <f t="shared" ref="V54:AA54" si="8">SUM(V51:V53)</f>
        <v>82</v>
      </c>
      <c r="W54" s="60">
        <f t="shared" si="8"/>
        <v>82</v>
      </c>
      <c r="X54" s="60">
        <f t="shared" si="8"/>
        <v>82</v>
      </c>
      <c r="Y54" s="60">
        <f t="shared" si="8"/>
        <v>82</v>
      </c>
      <c r="Z54" s="60">
        <f t="shared" si="8"/>
        <v>82</v>
      </c>
      <c r="AA54" s="60">
        <f t="shared" si="8"/>
        <v>82</v>
      </c>
      <c r="AB54" s="60">
        <f t="shared" si="7"/>
        <v>82</v>
      </c>
      <c r="AC54" s="60">
        <f t="shared" si="7"/>
        <v>82</v>
      </c>
      <c r="AD54" s="60">
        <f t="shared" si="7"/>
        <v>82</v>
      </c>
      <c r="AE54" s="60">
        <f t="shared" si="7"/>
        <v>382</v>
      </c>
      <c r="AF54" s="60">
        <f t="shared" si="7"/>
        <v>462</v>
      </c>
      <c r="AG54" s="61">
        <f t="shared" si="7"/>
        <v>538.1</v>
      </c>
      <c r="AH54" s="47">
        <f t="shared" si="2"/>
        <v>538</v>
      </c>
      <c r="AI54" s="48">
        <f t="shared" si="3"/>
        <v>74</v>
      </c>
      <c r="AK54" s="50"/>
    </row>
    <row r="55" spans="1:41" x14ac:dyDescent="0.25">
      <c r="A55" s="44" t="s">
        <v>63</v>
      </c>
      <c r="B55" s="45">
        <v>146.9</v>
      </c>
      <c r="C55" s="45">
        <v>146.9</v>
      </c>
      <c r="D55" s="45">
        <v>146.9</v>
      </c>
      <c r="E55" s="45">
        <v>146.9</v>
      </c>
      <c r="F55" s="45">
        <v>145.69999999999999</v>
      </c>
      <c r="G55" s="45">
        <v>145.19999999999999</v>
      </c>
      <c r="H55" s="45">
        <v>144.9</v>
      </c>
      <c r="I55" s="45">
        <v>144.69999999999999</v>
      </c>
      <c r="J55" s="45">
        <v>144.69999999999999</v>
      </c>
      <c r="K55" s="45">
        <v>144.6</v>
      </c>
      <c r="L55" s="45">
        <v>135.5</v>
      </c>
      <c r="M55" s="45">
        <v>135.5</v>
      </c>
      <c r="N55" s="45">
        <v>80.2</v>
      </c>
      <c r="O55" s="45">
        <v>72.599999999999994</v>
      </c>
      <c r="P55" s="45">
        <v>72.599999999999994</v>
      </c>
      <c r="Q55" s="45">
        <v>90.8</v>
      </c>
      <c r="R55" s="45">
        <v>90.8</v>
      </c>
      <c r="S55" s="45">
        <v>90.8</v>
      </c>
      <c r="T55" s="45">
        <v>90.8</v>
      </c>
      <c r="U55" s="45">
        <v>85</v>
      </c>
      <c r="V55" s="45">
        <v>75.7</v>
      </c>
      <c r="W55" s="45">
        <v>75.7</v>
      </c>
      <c r="X55" s="45">
        <v>96.5</v>
      </c>
      <c r="Y55" s="45">
        <v>96.5</v>
      </c>
      <c r="Z55" s="45">
        <v>144</v>
      </c>
      <c r="AA55" s="45">
        <v>144</v>
      </c>
      <c r="AB55" s="45">
        <v>144</v>
      </c>
      <c r="AC55" s="45">
        <v>146.69999999999999</v>
      </c>
      <c r="AD55" s="45">
        <v>146.69999999999999</v>
      </c>
      <c r="AE55" s="45">
        <v>146.69999999999999</v>
      </c>
      <c r="AF55" s="45">
        <v>146.69999999999999</v>
      </c>
      <c r="AG55" s="51">
        <v>144</v>
      </c>
      <c r="AH55" s="47">
        <f t="shared" si="2"/>
        <v>146.9</v>
      </c>
      <c r="AI55" s="48">
        <f t="shared" si="3"/>
        <v>72.599999999999994</v>
      </c>
      <c r="AK55" s="50"/>
    </row>
    <row r="56" spans="1:41" x14ac:dyDescent="0.25">
      <c r="A56" s="53" t="s">
        <v>64</v>
      </c>
      <c r="B56" s="64">
        <v>70.400000000000006</v>
      </c>
      <c r="C56" s="64">
        <v>70.400000000000006</v>
      </c>
      <c r="D56" s="64">
        <v>70.400000000000006</v>
      </c>
      <c r="E56" s="64">
        <v>70.400000000000006</v>
      </c>
      <c r="F56" s="64">
        <v>70.099999999999994</v>
      </c>
      <c r="G56" s="64">
        <v>70</v>
      </c>
      <c r="H56" s="64">
        <v>70.5</v>
      </c>
      <c r="I56" s="64">
        <v>70</v>
      </c>
      <c r="J56" s="64">
        <v>69.7</v>
      </c>
      <c r="K56" s="64">
        <v>69.2</v>
      </c>
      <c r="L56" s="64">
        <v>69.400000000000006</v>
      </c>
      <c r="M56" s="64">
        <v>69.400000000000006</v>
      </c>
      <c r="N56" s="64">
        <v>69.2</v>
      </c>
      <c r="O56" s="64">
        <v>64.3</v>
      </c>
      <c r="P56" s="64">
        <v>64.3</v>
      </c>
      <c r="Q56" s="64">
        <v>64.3</v>
      </c>
      <c r="R56" s="64">
        <v>65.3</v>
      </c>
      <c r="S56" s="64">
        <v>65.3</v>
      </c>
      <c r="T56" s="45">
        <v>69.5</v>
      </c>
      <c r="U56" s="45">
        <v>69.5</v>
      </c>
      <c r="V56" s="45">
        <v>59</v>
      </c>
      <c r="W56" s="45">
        <v>59</v>
      </c>
      <c r="X56" s="45">
        <v>60.5</v>
      </c>
      <c r="Y56" s="45">
        <v>60.5</v>
      </c>
      <c r="Z56" s="45">
        <v>70.2</v>
      </c>
      <c r="AA56" s="45">
        <v>70.2</v>
      </c>
      <c r="AB56" s="45">
        <v>70.2</v>
      </c>
      <c r="AC56" s="45">
        <v>70.2</v>
      </c>
      <c r="AD56" s="45">
        <v>70.2</v>
      </c>
      <c r="AE56" s="45">
        <v>70.2</v>
      </c>
      <c r="AF56" s="45">
        <v>70.2</v>
      </c>
      <c r="AG56" s="54">
        <v>70</v>
      </c>
      <c r="AH56" s="47">
        <f t="shared" si="2"/>
        <v>70.5</v>
      </c>
      <c r="AI56" s="48">
        <f t="shared" si="3"/>
        <v>59</v>
      </c>
      <c r="AK56" s="50"/>
    </row>
    <row r="57" spans="1:41" x14ac:dyDescent="0.25">
      <c r="A57" s="53" t="s">
        <v>65</v>
      </c>
      <c r="B57" s="64">
        <v>64.3</v>
      </c>
      <c r="C57" s="64">
        <v>64.3</v>
      </c>
      <c r="D57" s="64">
        <v>64.3</v>
      </c>
      <c r="E57" s="64">
        <v>64.3</v>
      </c>
      <c r="F57" s="64">
        <v>57.5</v>
      </c>
      <c r="G57" s="64">
        <v>62.6</v>
      </c>
      <c r="H57" s="64">
        <v>65.099999999999994</v>
      </c>
      <c r="I57" s="64">
        <v>65.400000000000006</v>
      </c>
      <c r="J57" s="64">
        <v>65.2</v>
      </c>
      <c r="K57" s="64">
        <v>65.5</v>
      </c>
      <c r="L57" s="64">
        <v>64.400000000000006</v>
      </c>
      <c r="M57" s="64">
        <v>64.400000000000006</v>
      </c>
      <c r="N57" s="64">
        <v>66</v>
      </c>
      <c r="O57" s="64">
        <v>61.4</v>
      </c>
      <c r="P57" s="64">
        <v>61.4</v>
      </c>
      <c r="Q57" s="64">
        <v>61.4</v>
      </c>
      <c r="R57" s="64">
        <v>65.900000000000006</v>
      </c>
      <c r="S57" s="64">
        <v>65.900000000000006</v>
      </c>
      <c r="T57" s="45">
        <v>66</v>
      </c>
      <c r="U57" s="45">
        <v>66</v>
      </c>
      <c r="V57" s="45">
        <v>65.7</v>
      </c>
      <c r="W57" s="45">
        <v>65.7</v>
      </c>
      <c r="X57" s="45">
        <v>65.7</v>
      </c>
      <c r="Y57" s="45">
        <v>65.7</v>
      </c>
      <c r="Z57" s="45">
        <v>65.5</v>
      </c>
      <c r="AA57" s="45">
        <v>65.5</v>
      </c>
      <c r="AB57" s="45">
        <v>65.5</v>
      </c>
      <c r="AC57" s="45">
        <v>65.5</v>
      </c>
      <c r="AD57" s="45">
        <v>65.5</v>
      </c>
      <c r="AE57" s="45">
        <v>65.5</v>
      </c>
      <c r="AF57" s="45">
        <v>65.5</v>
      </c>
      <c r="AG57" s="54">
        <v>69</v>
      </c>
      <c r="AH57" s="47">
        <f t="shared" si="2"/>
        <v>66</v>
      </c>
      <c r="AI57" s="48">
        <f t="shared" si="3"/>
        <v>57.5</v>
      </c>
      <c r="AK57" s="50"/>
    </row>
    <row r="58" spans="1:41" x14ac:dyDescent="0.25">
      <c r="A58" s="53" t="s">
        <v>66</v>
      </c>
      <c r="B58" s="64">
        <v>60</v>
      </c>
      <c r="C58" s="64">
        <v>53</v>
      </c>
      <c r="D58" s="64">
        <v>53</v>
      </c>
      <c r="E58" s="64">
        <v>60.9</v>
      </c>
      <c r="F58" s="56">
        <v>60.9</v>
      </c>
      <c r="G58" s="56">
        <v>57.7</v>
      </c>
      <c r="H58" s="56">
        <v>58</v>
      </c>
      <c r="I58" s="56">
        <v>60.9</v>
      </c>
      <c r="J58" s="56">
        <v>50.9</v>
      </c>
      <c r="K58" s="56">
        <v>61.4</v>
      </c>
      <c r="L58" s="56">
        <v>61.4</v>
      </c>
      <c r="M58" s="56">
        <v>61.4</v>
      </c>
      <c r="N58" s="64">
        <v>61.4</v>
      </c>
      <c r="O58" s="64">
        <v>61.4</v>
      </c>
      <c r="P58" s="64">
        <v>61.4</v>
      </c>
      <c r="Q58" s="64">
        <v>61.4</v>
      </c>
      <c r="R58" s="64">
        <v>60.9</v>
      </c>
      <c r="S58" s="64">
        <v>60.9</v>
      </c>
      <c r="T58" s="64">
        <v>60.9</v>
      </c>
      <c r="U58" s="64">
        <v>0</v>
      </c>
      <c r="V58" s="64">
        <v>60.9</v>
      </c>
      <c r="W58" s="64">
        <v>60.9</v>
      </c>
      <c r="X58" s="64">
        <v>60.9</v>
      </c>
      <c r="Y58" s="64">
        <v>60.9</v>
      </c>
      <c r="Z58" s="45">
        <v>60.9</v>
      </c>
      <c r="AA58" s="45">
        <v>60.9</v>
      </c>
      <c r="AB58" s="45">
        <v>60.9</v>
      </c>
      <c r="AC58" s="45">
        <v>60.9</v>
      </c>
      <c r="AD58" s="45">
        <v>60.9</v>
      </c>
      <c r="AE58" s="45">
        <v>60.9</v>
      </c>
      <c r="AF58" s="45">
        <v>60.9</v>
      </c>
      <c r="AG58" s="54">
        <v>60</v>
      </c>
      <c r="AH58" s="47">
        <f t="shared" si="2"/>
        <v>61.4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15</v>
      </c>
      <c r="C59" s="64">
        <v>15</v>
      </c>
      <c r="D59" s="64">
        <v>15</v>
      </c>
      <c r="E59" s="64">
        <v>15</v>
      </c>
      <c r="F59" s="56">
        <v>15</v>
      </c>
      <c r="G59" s="56">
        <v>15</v>
      </c>
      <c r="H59" s="56">
        <v>15</v>
      </c>
      <c r="I59" s="56">
        <v>15</v>
      </c>
      <c r="J59" s="56">
        <v>12</v>
      </c>
      <c r="K59" s="56">
        <v>15</v>
      </c>
      <c r="L59" s="56">
        <v>15</v>
      </c>
      <c r="M59" s="56">
        <v>15</v>
      </c>
      <c r="N59" s="64">
        <v>15</v>
      </c>
      <c r="O59" s="64">
        <v>15</v>
      </c>
      <c r="P59" s="64">
        <v>15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15</v>
      </c>
      <c r="W59" s="64">
        <v>15</v>
      </c>
      <c r="X59" s="64">
        <v>15</v>
      </c>
      <c r="Y59" s="64">
        <v>15</v>
      </c>
      <c r="Z59" s="45">
        <v>15</v>
      </c>
      <c r="AA59" s="45">
        <v>15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54">
        <v>30</v>
      </c>
      <c r="AH59" s="47">
        <f t="shared" si="2"/>
        <v>15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2.2000000000000002</v>
      </c>
      <c r="L60" s="64">
        <v>3</v>
      </c>
      <c r="M60" s="64">
        <v>3</v>
      </c>
      <c r="N60" s="64">
        <v>13.9</v>
      </c>
      <c r="O60" s="64">
        <v>16.600000000000001</v>
      </c>
      <c r="P60" s="64">
        <v>16.600000000000001</v>
      </c>
      <c r="Q60" s="64">
        <v>16.600000000000001</v>
      </c>
      <c r="R60" s="64">
        <v>17.3</v>
      </c>
      <c r="S60" s="64">
        <v>17.3</v>
      </c>
      <c r="T60" s="64">
        <v>17.3</v>
      </c>
      <c r="U60" s="64">
        <v>17.3</v>
      </c>
      <c r="V60" s="64">
        <v>17.3</v>
      </c>
      <c r="W60" s="64">
        <v>17.3</v>
      </c>
      <c r="X60" s="64">
        <v>17.3</v>
      </c>
      <c r="Y60" s="64">
        <v>17.3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17.3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14</v>
      </c>
      <c r="Q61" s="64">
        <v>14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11.4</v>
      </c>
      <c r="C63" s="64">
        <v>11.4</v>
      </c>
      <c r="D63" s="64">
        <v>11.4</v>
      </c>
      <c r="E63" s="64">
        <v>11.4</v>
      </c>
      <c r="F63" s="64">
        <v>11.4</v>
      </c>
      <c r="G63" s="64">
        <v>11.4</v>
      </c>
      <c r="H63" s="64">
        <v>11.4</v>
      </c>
      <c r="I63" s="64">
        <v>11.4</v>
      </c>
      <c r="J63" s="64">
        <v>11.4</v>
      </c>
      <c r="K63" s="64">
        <v>11.4</v>
      </c>
      <c r="L63" s="64">
        <v>11.4</v>
      </c>
      <c r="M63" s="64">
        <v>11.4</v>
      </c>
      <c r="N63" s="64">
        <v>11.4</v>
      </c>
      <c r="O63" s="64">
        <v>11.4</v>
      </c>
      <c r="P63" s="64">
        <v>11.4</v>
      </c>
      <c r="Q63" s="64">
        <v>11.4</v>
      </c>
      <c r="R63" s="64">
        <v>11.4</v>
      </c>
      <c r="S63" s="64">
        <v>11.4</v>
      </c>
      <c r="T63" s="64">
        <v>11.4</v>
      </c>
      <c r="U63" s="64">
        <v>11.4</v>
      </c>
      <c r="V63" s="64">
        <v>11.4</v>
      </c>
      <c r="W63" s="64">
        <v>11.4</v>
      </c>
      <c r="X63" s="64">
        <v>11.4</v>
      </c>
      <c r="Y63" s="64">
        <v>11.4</v>
      </c>
      <c r="Z63" s="64">
        <v>10.7</v>
      </c>
      <c r="AA63" s="64">
        <v>10.7</v>
      </c>
      <c r="AB63" s="64">
        <v>10.7</v>
      </c>
      <c r="AC63" s="64">
        <v>10.7</v>
      </c>
      <c r="AD63" s="64">
        <v>10.7</v>
      </c>
      <c r="AE63" s="64">
        <v>10.7</v>
      </c>
      <c r="AF63" s="64">
        <v>10.7</v>
      </c>
      <c r="AG63" s="54">
        <v>14.1</v>
      </c>
      <c r="AH63" s="47">
        <f t="shared" si="2"/>
        <v>11.4</v>
      </c>
      <c r="AI63" s="48">
        <f t="shared" si="3"/>
        <v>10.7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3.1</v>
      </c>
      <c r="C64" s="64">
        <v>3.1</v>
      </c>
      <c r="D64" s="64">
        <v>3.1</v>
      </c>
      <c r="E64" s="64">
        <v>3.1</v>
      </c>
      <c r="F64" s="64">
        <v>3.1</v>
      </c>
      <c r="G64" s="64">
        <v>3.1</v>
      </c>
      <c r="H64" s="64">
        <v>3.1</v>
      </c>
      <c r="I64" s="64">
        <v>3.1</v>
      </c>
      <c r="J64" s="64">
        <v>3.1</v>
      </c>
      <c r="K64" s="64">
        <v>3.1</v>
      </c>
      <c r="L64" s="64">
        <v>3.1</v>
      </c>
      <c r="M64" s="64">
        <v>10</v>
      </c>
      <c r="N64" s="64">
        <v>8.8000000000000007</v>
      </c>
      <c r="O64" s="64">
        <v>8.8000000000000007</v>
      </c>
      <c r="P64" s="64">
        <v>8.8000000000000007</v>
      </c>
      <c r="Q64" s="64">
        <v>8.8000000000000007</v>
      </c>
      <c r="R64" s="64">
        <v>8.8000000000000007</v>
      </c>
      <c r="S64" s="64">
        <v>8.8000000000000007</v>
      </c>
      <c r="T64" s="64">
        <v>8.8000000000000007</v>
      </c>
      <c r="U64" s="64">
        <v>8.8000000000000007</v>
      </c>
      <c r="V64" s="64">
        <v>8.8000000000000007</v>
      </c>
      <c r="W64" s="64">
        <v>8.8000000000000007</v>
      </c>
      <c r="X64" s="64">
        <v>8.8000000000000007</v>
      </c>
      <c r="Y64" s="64">
        <v>8.8000000000000007</v>
      </c>
      <c r="Z64" s="64">
        <v>13.2</v>
      </c>
      <c r="AA64" s="64">
        <v>13.2</v>
      </c>
      <c r="AB64" s="64">
        <v>13.2</v>
      </c>
      <c r="AC64" s="64">
        <v>13.2</v>
      </c>
      <c r="AD64" s="64">
        <v>13.2</v>
      </c>
      <c r="AE64" s="64">
        <v>13.2</v>
      </c>
      <c r="AF64" s="64">
        <v>13.2</v>
      </c>
      <c r="AG64" s="54">
        <v>14</v>
      </c>
      <c r="AH64" s="47">
        <f t="shared" si="2"/>
        <v>13.2</v>
      </c>
      <c r="AI64" s="48">
        <f t="shared" si="3"/>
        <v>3.1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9">SUM(B55:B67)</f>
        <v>411.24</v>
      </c>
      <c r="C68" s="60">
        <f t="shared" si="9"/>
        <v>404.24</v>
      </c>
      <c r="D68" s="60">
        <f t="shared" si="9"/>
        <v>404.24</v>
      </c>
      <c r="E68" s="60">
        <f t="shared" si="9"/>
        <v>412.14</v>
      </c>
      <c r="F68" s="60">
        <f t="shared" si="9"/>
        <v>403.83999999999992</v>
      </c>
      <c r="G68" s="60">
        <f t="shared" si="9"/>
        <v>405.14</v>
      </c>
      <c r="H68" s="60">
        <f t="shared" si="9"/>
        <v>408.14</v>
      </c>
      <c r="I68" s="60">
        <f t="shared" si="9"/>
        <v>410.64</v>
      </c>
      <c r="J68" s="60">
        <f t="shared" si="9"/>
        <v>397.13999999999993</v>
      </c>
      <c r="K68" s="60">
        <f t="shared" si="9"/>
        <v>412.53999999999996</v>
      </c>
      <c r="L68" s="60">
        <f t="shared" si="9"/>
        <v>403.34</v>
      </c>
      <c r="M68" s="60">
        <f t="shared" si="9"/>
        <v>410.23999999999995</v>
      </c>
      <c r="N68" s="60">
        <f t="shared" si="9"/>
        <v>366.03999999999996</v>
      </c>
      <c r="O68" s="60">
        <f t="shared" si="9"/>
        <v>351.64</v>
      </c>
      <c r="P68" s="60">
        <f t="shared" si="9"/>
        <v>344.44</v>
      </c>
      <c r="Q68" s="60">
        <f t="shared" si="9"/>
        <v>362.64</v>
      </c>
      <c r="R68" s="60">
        <f t="shared" si="9"/>
        <v>370.34</v>
      </c>
      <c r="S68" s="60">
        <f t="shared" si="9"/>
        <v>370.34</v>
      </c>
      <c r="T68" s="60">
        <f t="shared" si="9"/>
        <v>374.64</v>
      </c>
      <c r="U68" s="60">
        <f t="shared" si="9"/>
        <v>307.94</v>
      </c>
      <c r="V68" s="60">
        <f t="shared" ref="V68:AB68" si="10">SUM(V55:V67)</f>
        <v>348.73999999999995</v>
      </c>
      <c r="W68" s="60">
        <f t="shared" si="10"/>
        <v>348.73999999999995</v>
      </c>
      <c r="X68" s="60">
        <f t="shared" si="10"/>
        <v>371.03999999999996</v>
      </c>
      <c r="Y68" s="60">
        <f t="shared" si="10"/>
        <v>371.03999999999996</v>
      </c>
      <c r="Z68" s="60">
        <f t="shared" si="10"/>
        <v>414.43999999999994</v>
      </c>
      <c r="AA68" s="60">
        <f t="shared" si="10"/>
        <v>414.43999999999994</v>
      </c>
      <c r="AB68" s="60">
        <f t="shared" si="10"/>
        <v>399.43999999999994</v>
      </c>
      <c r="AC68" s="60">
        <f t="shared" si="9"/>
        <v>402.13999999999993</v>
      </c>
      <c r="AD68" s="60">
        <f t="shared" si="9"/>
        <v>402.13999999999993</v>
      </c>
      <c r="AE68" s="60">
        <f t="shared" si="9"/>
        <v>402.13999999999993</v>
      </c>
      <c r="AF68" s="60">
        <f t="shared" si="9"/>
        <v>402.13999999999993</v>
      </c>
      <c r="AG68" s="61">
        <f t="shared" si="9"/>
        <v>489.91</v>
      </c>
      <c r="AH68" s="47">
        <f t="shared" si="2"/>
        <v>414.43999999999994</v>
      </c>
      <c r="AI68" s="48">
        <f t="shared" si="3"/>
        <v>307.94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0</v>
      </c>
      <c r="O69" s="45">
        <v>19.7</v>
      </c>
      <c r="P69" s="45">
        <v>25</v>
      </c>
      <c r="Q69" s="45">
        <v>25</v>
      </c>
      <c r="R69" s="45">
        <v>25</v>
      </c>
      <c r="S69" s="45">
        <v>25</v>
      </c>
      <c r="T69" s="45">
        <v>25</v>
      </c>
      <c r="U69" s="45">
        <v>25</v>
      </c>
      <c r="V69" s="45">
        <v>25.4</v>
      </c>
      <c r="W69" s="45">
        <v>25.4</v>
      </c>
      <c r="X69" s="45">
        <v>25.4</v>
      </c>
      <c r="Y69" s="45">
        <v>25.4</v>
      </c>
      <c r="Z69" s="45">
        <v>13.7</v>
      </c>
      <c r="AA69" s="45">
        <v>13.7</v>
      </c>
      <c r="AB69" s="45">
        <v>13.5</v>
      </c>
      <c r="AC69" s="45">
        <v>13.5</v>
      </c>
      <c r="AD69" s="45"/>
      <c r="AE69" s="45"/>
      <c r="AF69" s="45"/>
      <c r="AG69" s="51">
        <v>60</v>
      </c>
      <c r="AH69" s="47">
        <f t="shared" si="2"/>
        <v>25.4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>
        <v>0</v>
      </c>
      <c r="N70" s="64">
        <v>0</v>
      </c>
      <c r="O70" s="64">
        <v>9</v>
      </c>
      <c r="P70" s="64">
        <v>11.3</v>
      </c>
      <c r="Q70" s="64">
        <v>11.3</v>
      </c>
      <c r="R70" s="64">
        <v>11.3</v>
      </c>
      <c r="S70" s="64">
        <v>11.3</v>
      </c>
      <c r="T70" s="64">
        <v>11.3</v>
      </c>
      <c r="U70" s="64">
        <v>11.3</v>
      </c>
      <c r="V70" s="64">
        <v>13.3</v>
      </c>
      <c r="W70" s="64">
        <v>13.3</v>
      </c>
      <c r="X70" s="64">
        <v>13.3</v>
      </c>
      <c r="Y70" s="64">
        <v>13.3</v>
      </c>
      <c r="Z70" s="64">
        <v>7.9</v>
      </c>
      <c r="AA70" s="64">
        <v>7.9</v>
      </c>
      <c r="AB70" s="64">
        <v>10</v>
      </c>
      <c r="AC70" s="64">
        <v>10</v>
      </c>
      <c r="AD70" s="64"/>
      <c r="AE70" s="64"/>
      <c r="AF70" s="64"/>
      <c r="AG70" s="54">
        <v>32</v>
      </c>
      <c r="AH70" s="47">
        <f t="shared" si="2"/>
        <v>13.3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>
        <v>0</v>
      </c>
      <c r="N71" s="66">
        <v>0</v>
      </c>
      <c r="O71" s="66">
        <v>3.3</v>
      </c>
      <c r="P71" s="66">
        <v>4.0999999999999996</v>
      </c>
      <c r="Q71" s="66">
        <v>4.0999999999999996</v>
      </c>
      <c r="R71" s="66">
        <v>4.0999999999999996</v>
      </c>
      <c r="S71" s="66">
        <v>4.0999999999999996</v>
      </c>
      <c r="T71" s="66">
        <v>4.0999999999999996</v>
      </c>
      <c r="U71" s="66">
        <v>4.0999999999999996</v>
      </c>
      <c r="V71" s="66">
        <v>4.9000000000000004</v>
      </c>
      <c r="W71" s="66">
        <v>4.9000000000000004</v>
      </c>
      <c r="X71" s="66">
        <v>4.9000000000000004</v>
      </c>
      <c r="Y71" s="66">
        <v>4.9000000000000004</v>
      </c>
      <c r="Z71" s="66">
        <v>2.9</v>
      </c>
      <c r="AA71" s="66">
        <v>2.9</v>
      </c>
      <c r="AB71" s="66">
        <v>3.7</v>
      </c>
      <c r="AC71" s="66">
        <v>3.7</v>
      </c>
      <c r="AD71" s="66"/>
      <c r="AE71" s="66"/>
      <c r="AF71" s="66"/>
      <c r="AG71" s="67">
        <v>14</v>
      </c>
      <c r="AH71" s="47">
        <f t="shared" si="2"/>
        <v>4.9000000000000004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1">M69+M70+M71</f>
        <v>0</v>
      </c>
      <c r="N72" s="60">
        <f t="shared" si="11"/>
        <v>0</v>
      </c>
      <c r="O72" s="60">
        <f t="shared" si="11"/>
        <v>32</v>
      </c>
      <c r="P72" s="60">
        <f t="shared" si="11"/>
        <v>40.4</v>
      </c>
      <c r="Q72" s="60">
        <f t="shared" si="11"/>
        <v>40.4</v>
      </c>
      <c r="R72" s="60">
        <f t="shared" si="11"/>
        <v>40.4</v>
      </c>
      <c r="S72" s="60">
        <f t="shared" si="11"/>
        <v>40.4</v>
      </c>
      <c r="T72" s="60">
        <f t="shared" si="11"/>
        <v>40.4</v>
      </c>
      <c r="U72" s="60">
        <f t="shared" si="11"/>
        <v>40.4</v>
      </c>
      <c r="V72" s="60">
        <f t="shared" ref="V72:AB72" si="12">V69+V70+V71</f>
        <v>43.6</v>
      </c>
      <c r="W72" s="60">
        <f t="shared" si="12"/>
        <v>43.6</v>
      </c>
      <c r="X72" s="60">
        <f t="shared" si="12"/>
        <v>43.6</v>
      </c>
      <c r="Y72" s="60">
        <f t="shared" si="12"/>
        <v>43.6</v>
      </c>
      <c r="Z72" s="60">
        <f t="shared" si="12"/>
        <v>24.5</v>
      </c>
      <c r="AA72" s="60">
        <f t="shared" si="12"/>
        <v>24.5</v>
      </c>
      <c r="AB72" s="60">
        <f t="shared" si="12"/>
        <v>27.2</v>
      </c>
      <c r="AC72" s="60">
        <f t="shared" si="11"/>
        <v>27.2</v>
      </c>
      <c r="AD72" s="60">
        <f t="shared" si="11"/>
        <v>0</v>
      </c>
      <c r="AE72" s="60">
        <f t="shared" si="11"/>
        <v>0</v>
      </c>
      <c r="AF72" s="60">
        <f t="shared" si="11"/>
        <v>0</v>
      </c>
      <c r="AG72" s="61">
        <f>SUM(AG69:AG71)</f>
        <v>106</v>
      </c>
      <c r="AH72" s="47">
        <f t="shared" si="2"/>
        <v>43.6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-48</v>
      </c>
      <c r="C73" s="45">
        <v>-63</v>
      </c>
      <c r="D73" s="45">
        <v>-69.2</v>
      </c>
      <c r="E73" s="45">
        <v>-70.3</v>
      </c>
      <c r="F73" s="45">
        <v>-72.5</v>
      </c>
      <c r="G73" s="45">
        <v>-72.599999999999994</v>
      </c>
      <c r="H73" s="45">
        <v>-72.5</v>
      </c>
      <c r="I73" s="45">
        <v>-73.2</v>
      </c>
      <c r="J73" s="45">
        <v>-72.8</v>
      </c>
      <c r="K73" s="45">
        <v>-74.400000000000006</v>
      </c>
      <c r="L73" s="45">
        <v>-75.099999999999994</v>
      </c>
      <c r="M73" s="45">
        <v>-70.3</v>
      </c>
      <c r="N73" s="45">
        <v>-70</v>
      </c>
      <c r="O73" s="45">
        <v>-65.2</v>
      </c>
      <c r="P73" s="45">
        <v>-54</v>
      </c>
      <c r="Q73" s="45">
        <v>-60</v>
      </c>
      <c r="R73" s="45">
        <v>-62</v>
      </c>
      <c r="S73" s="45">
        <v>-65</v>
      </c>
      <c r="T73" s="45">
        <v>-66.400000000000006</v>
      </c>
      <c r="U73" s="45">
        <v>-56.5</v>
      </c>
      <c r="V73" s="45">
        <v>-59.2</v>
      </c>
      <c r="W73" s="45">
        <v>-59.1</v>
      </c>
      <c r="X73" s="45">
        <v>-61.4</v>
      </c>
      <c r="Y73" s="45">
        <v>-28.9</v>
      </c>
      <c r="Z73" s="45">
        <v>-17</v>
      </c>
      <c r="AA73" s="45">
        <v>-11.1</v>
      </c>
      <c r="AB73" s="45">
        <v>-8.4</v>
      </c>
      <c r="AC73" s="45">
        <v>-7</v>
      </c>
      <c r="AD73" s="45">
        <v>-17.3</v>
      </c>
      <c r="AE73" s="45">
        <v>-36</v>
      </c>
      <c r="AF73" s="45">
        <v>-37.4</v>
      </c>
      <c r="AG73" s="51"/>
      <c r="AH73" s="47">
        <f t="shared" si="2"/>
        <v>-7</v>
      </c>
      <c r="AI73" s="48">
        <f t="shared" si="3"/>
        <v>-75.099999999999994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-316</v>
      </c>
      <c r="C75" s="64">
        <v>-339</v>
      </c>
      <c r="D75" s="64">
        <v>-394</v>
      </c>
      <c r="E75" s="64">
        <v>-430.6</v>
      </c>
      <c r="F75" s="64">
        <v>-173.3</v>
      </c>
      <c r="G75" s="64">
        <v>-162</v>
      </c>
      <c r="H75" s="64">
        <v>-187.2</v>
      </c>
      <c r="I75" s="64">
        <v>-182.7</v>
      </c>
      <c r="J75" s="64">
        <v>-173.5</v>
      </c>
      <c r="K75" s="64">
        <v>-174.9</v>
      </c>
      <c r="L75" s="64">
        <v>-165</v>
      </c>
      <c r="M75" s="64">
        <v>-121</v>
      </c>
      <c r="N75" s="64">
        <v>-136</v>
      </c>
      <c r="O75" s="64">
        <v>-112.1</v>
      </c>
      <c r="P75" s="64">
        <v>-94</v>
      </c>
      <c r="Q75" s="64">
        <v>-105</v>
      </c>
      <c r="R75" s="64">
        <v>-89</v>
      </c>
      <c r="S75" s="64">
        <v>-92</v>
      </c>
      <c r="T75" s="64">
        <v>-82.6</v>
      </c>
      <c r="U75" s="64">
        <v>-124</v>
      </c>
      <c r="V75" s="64">
        <v>-136</v>
      </c>
      <c r="W75" s="64">
        <v>-96</v>
      </c>
      <c r="X75" s="64">
        <v>6.6</v>
      </c>
      <c r="Y75" s="64">
        <v>53.2</v>
      </c>
      <c r="Z75" s="64">
        <v>59.1</v>
      </c>
      <c r="AA75" s="64">
        <v>62.6</v>
      </c>
      <c r="AB75" s="64">
        <v>53.5</v>
      </c>
      <c r="AC75" s="64">
        <v>2.5</v>
      </c>
      <c r="AD75" s="64">
        <v>-0.5</v>
      </c>
      <c r="AE75" s="64">
        <v>-297</v>
      </c>
      <c r="AF75" s="64">
        <v>-383</v>
      </c>
      <c r="AG75" s="74"/>
      <c r="AH75" s="47">
        <f t="shared" si="2"/>
        <v>62.6</v>
      </c>
      <c r="AI75" s="48">
        <f t="shared" si="3"/>
        <v>-430.6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3">MAX(B77:AF77)</f>
        <v>0</v>
      </c>
      <c r="AI77" s="48">
        <f t="shared" ref="AI77:AI120" si="14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3"/>
        <v>0</v>
      </c>
      <c r="AI78" s="48">
        <f t="shared" si="14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3"/>
        <v>0</v>
      </c>
      <c r="AI79" s="48">
        <f t="shared" si="14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3"/>
        <v>0</v>
      </c>
      <c r="AI80" s="48">
        <f t="shared" si="14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3"/>
        <v>0</v>
      </c>
      <c r="AI81" s="48">
        <f t="shared" si="14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3"/>
        <v>0</v>
      </c>
      <c r="AI82" s="48">
        <f t="shared" si="14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3"/>
        <v>0</v>
      </c>
      <c r="AI83" s="48">
        <f t="shared" si="14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5">SUMIF(B73:B83,"&gt;0")</f>
        <v>0</v>
      </c>
      <c r="C84" s="60">
        <f t="shared" si="15"/>
        <v>0</v>
      </c>
      <c r="D84" s="60">
        <f t="shared" si="15"/>
        <v>0</v>
      </c>
      <c r="E84" s="60">
        <f t="shared" si="15"/>
        <v>0</v>
      </c>
      <c r="F84" s="60">
        <f t="shared" si="15"/>
        <v>0</v>
      </c>
      <c r="G84" s="60">
        <f t="shared" si="15"/>
        <v>0</v>
      </c>
      <c r="H84" s="60">
        <f t="shared" si="15"/>
        <v>0</v>
      </c>
      <c r="I84" s="60">
        <f t="shared" si="15"/>
        <v>0</v>
      </c>
      <c r="J84" s="60">
        <f t="shared" si="15"/>
        <v>0</v>
      </c>
      <c r="K84" s="60">
        <f t="shared" si="15"/>
        <v>0</v>
      </c>
      <c r="L84" s="60">
        <f t="shared" si="15"/>
        <v>0</v>
      </c>
      <c r="M84" s="60">
        <f t="shared" si="15"/>
        <v>0</v>
      </c>
      <c r="N84" s="60">
        <f>SUMIF(N73:N83,"&gt;0")</f>
        <v>0</v>
      </c>
      <c r="O84" s="60">
        <f t="shared" si="15"/>
        <v>0</v>
      </c>
      <c r="P84" s="60">
        <f t="shared" si="15"/>
        <v>0</v>
      </c>
      <c r="Q84" s="60">
        <f t="shared" si="15"/>
        <v>0</v>
      </c>
      <c r="R84" s="60">
        <f t="shared" si="15"/>
        <v>0</v>
      </c>
      <c r="S84" s="60">
        <f t="shared" si="15"/>
        <v>0</v>
      </c>
      <c r="T84" s="60">
        <f t="shared" si="15"/>
        <v>0</v>
      </c>
      <c r="U84" s="60">
        <f t="shared" si="15"/>
        <v>0</v>
      </c>
      <c r="V84" s="60">
        <f t="shared" ref="V84:AB84" si="16">SUMIF(V73:V83,"&gt;0")</f>
        <v>0</v>
      </c>
      <c r="W84" s="60">
        <f t="shared" si="16"/>
        <v>0</v>
      </c>
      <c r="X84" s="60">
        <f t="shared" si="16"/>
        <v>6.6</v>
      </c>
      <c r="Y84" s="60">
        <f t="shared" si="16"/>
        <v>53.2</v>
      </c>
      <c r="Z84" s="60">
        <f t="shared" si="16"/>
        <v>59.1</v>
      </c>
      <c r="AA84" s="60">
        <f t="shared" si="16"/>
        <v>62.6</v>
      </c>
      <c r="AB84" s="60">
        <f t="shared" si="16"/>
        <v>53.5</v>
      </c>
      <c r="AC84" s="60">
        <f t="shared" si="15"/>
        <v>2.5</v>
      </c>
      <c r="AD84" s="60">
        <f t="shared" si="15"/>
        <v>0</v>
      </c>
      <c r="AE84" s="60">
        <f t="shared" si="15"/>
        <v>0</v>
      </c>
      <c r="AF84" s="60">
        <f t="shared" si="15"/>
        <v>0</v>
      </c>
      <c r="AG84" s="87">
        <f>SUM(AG73:AG83)</f>
        <v>0</v>
      </c>
      <c r="AH84" s="47">
        <f t="shared" si="13"/>
        <v>62.6</v>
      </c>
      <c r="AI84" s="48">
        <f t="shared" si="14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3"/>
        <v>0</v>
      </c>
      <c r="AI85" s="48">
        <f t="shared" si="14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3"/>
        <v>0</v>
      </c>
      <c r="AI86" s="48">
        <f t="shared" si="14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3"/>
        <v>0</v>
      </c>
      <c r="AI87" s="48">
        <f t="shared" si="14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3"/>
        <v>0</v>
      </c>
      <c r="AI88" s="48">
        <f t="shared" si="14"/>
        <v>0</v>
      </c>
    </row>
    <row r="89" spans="1:40" ht="15.75" thickBot="1" x14ac:dyDescent="0.3">
      <c r="A89" s="73" t="s">
        <v>100</v>
      </c>
      <c r="B89" s="94">
        <f t="shared" ref="B89:AG89" si="17">B50+B54+B72+B68+B84+B88</f>
        <v>2027.9999999999998</v>
      </c>
      <c r="C89" s="94">
        <f t="shared" si="17"/>
        <v>1998</v>
      </c>
      <c r="D89" s="94">
        <f t="shared" si="17"/>
        <v>1992</v>
      </c>
      <c r="E89" s="94">
        <f t="shared" si="17"/>
        <v>1993.9</v>
      </c>
      <c r="F89" s="94">
        <f t="shared" si="17"/>
        <v>1671.6999999999998</v>
      </c>
      <c r="G89" s="94">
        <f t="shared" si="17"/>
        <v>1561.9999999999995</v>
      </c>
      <c r="H89" s="94">
        <f t="shared" si="17"/>
        <v>1554.8999999999996</v>
      </c>
      <c r="I89" s="94">
        <f t="shared" si="17"/>
        <v>1557.3999999999996</v>
      </c>
      <c r="J89" s="94">
        <f t="shared" si="17"/>
        <v>1551.8999999999996</v>
      </c>
      <c r="K89" s="94">
        <f t="shared" si="17"/>
        <v>1504.1</v>
      </c>
      <c r="L89" s="94">
        <f t="shared" si="17"/>
        <v>1516.3</v>
      </c>
      <c r="M89" s="94">
        <f t="shared" si="17"/>
        <v>1527.2</v>
      </c>
      <c r="N89" s="94">
        <f t="shared" si="17"/>
        <v>1524.1999999999998</v>
      </c>
      <c r="O89" s="94">
        <f t="shared" si="17"/>
        <v>1541.7999999999997</v>
      </c>
      <c r="P89" s="94">
        <f t="shared" si="17"/>
        <v>1549.8000000000002</v>
      </c>
      <c r="Q89" s="94">
        <f t="shared" si="17"/>
        <v>1568</v>
      </c>
      <c r="R89" s="94">
        <f t="shared" si="17"/>
        <v>1536.5</v>
      </c>
      <c r="S89" s="94">
        <f t="shared" si="17"/>
        <v>1550.5</v>
      </c>
      <c r="T89" s="94">
        <f t="shared" si="17"/>
        <v>1545.8000000000002</v>
      </c>
      <c r="U89" s="94">
        <f t="shared" si="17"/>
        <v>1429.1000000000001</v>
      </c>
      <c r="V89" s="94">
        <f t="shared" ref="V89:AB89" si="18">V50+V54+V72+V68+V84+V88</f>
        <v>1532.8999999999999</v>
      </c>
      <c r="W89" s="94">
        <f t="shared" si="18"/>
        <v>1532.8999999999999</v>
      </c>
      <c r="X89" s="94">
        <f t="shared" si="18"/>
        <v>1471.7999999999997</v>
      </c>
      <c r="Y89" s="94">
        <f t="shared" si="18"/>
        <v>1518.3999999999999</v>
      </c>
      <c r="Z89" s="94">
        <f t="shared" si="18"/>
        <v>1589.1999999999998</v>
      </c>
      <c r="AA89" s="94">
        <f t="shared" si="18"/>
        <v>1613.3999999999996</v>
      </c>
      <c r="AB89" s="94">
        <f t="shared" si="18"/>
        <v>1592</v>
      </c>
      <c r="AC89" s="94">
        <f t="shared" si="17"/>
        <v>1571.6999999999998</v>
      </c>
      <c r="AD89" s="94">
        <f t="shared" si="17"/>
        <v>1541.9999999999998</v>
      </c>
      <c r="AE89" s="94">
        <f t="shared" si="17"/>
        <v>1792.8999999999999</v>
      </c>
      <c r="AF89" s="94">
        <f t="shared" si="17"/>
        <v>1872.8999999999999</v>
      </c>
      <c r="AG89" s="61">
        <f t="shared" si="17"/>
        <v>2111.5500000000002</v>
      </c>
      <c r="AH89" s="47">
        <f t="shared" si="13"/>
        <v>2027.9999999999998</v>
      </c>
      <c r="AI89" s="48">
        <f t="shared" si="14"/>
        <v>1429.1000000000001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>
        <v>110</v>
      </c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3"/>
        <v>110</v>
      </c>
      <c r="AI90" s="48">
        <f t="shared" si="14"/>
        <v>110</v>
      </c>
    </row>
    <row r="91" spans="1:40" ht="15.75" thickBot="1" x14ac:dyDescent="0.3">
      <c r="A91" s="73" t="s">
        <v>102</v>
      </c>
      <c r="B91" s="94">
        <f t="shared" ref="B91:AF91" si="19">B89+B90</f>
        <v>2027.9999999999998</v>
      </c>
      <c r="C91" s="94">
        <f t="shared" si="19"/>
        <v>1998</v>
      </c>
      <c r="D91" s="94">
        <f t="shared" si="19"/>
        <v>1992</v>
      </c>
      <c r="E91" s="94">
        <f t="shared" si="19"/>
        <v>1993.9</v>
      </c>
      <c r="F91" s="94">
        <f t="shared" si="19"/>
        <v>1671.6999999999998</v>
      </c>
      <c r="G91" s="94">
        <f t="shared" si="19"/>
        <v>1561.9999999999995</v>
      </c>
      <c r="H91" s="94">
        <f t="shared" si="19"/>
        <v>1554.8999999999996</v>
      </c>
      <c r="I91" s="94">
        <f t="shared" si="19"/>
        <v>1557.3999999999996</v>
      </c>
      <c r="J91" s="94">
        <f t="shared" si="19"/>
        <v>1551.8999999999996</v>
      </c>
      <c r="K91" s="94">
        <f t="shared" si="19"/>
        <v>1504.1</v>
      </c>
      <c r="L91" s="94">
        <f t="shared" si="19"/>
        <v>1516.3</v>
      </c>
      <c r="M91" s="94">
        <f t="shared" si="19"/>
        <v>1527.2</v>
      </c>
      <c r="N91" s="94">
        <f t="shared" si="19"/>
        <v>1524.1999999999998</v>
      </c>
      <c r="O91" s="94">
        <f t="shared" si="19"/>
        <v>1541.7999999999997</v>
      </c>
      <c r="P91" s="94">
        <f t="shared" si="19"/>
        <v>1549.8000000000002</v>
      </c>
      <c r="Q91" s="94">
        <f t="shared" si="19"/>
        <v>1568</v>
      </c>
      <c r="R91" s="94">
        <f t="shared" si="19"/>
        <v>1536.5</v>
      </c>
      <c r="S91" s="94">
        <f t="shared" si="19"/>
        <v>1550.5</v>
      </c>
      <c r="T91" s="94">
        <f t="shared" si="19"/>
        <v>1545.8000000000002</v>
      </c>
      <c r="U91" s="94">
        <f t="shared" si="19"/>
        <v>1539.1000000000001</v>
      </c>
      <c r="V91" s="94">
        <f t="shared" ref="V91:AB91" si="20">V89+V90</f>
        <v>1532.8999999999999</v>
      </c>
      <c r="W91" s="94">
        <f t="shared" si="20"/>
        <v>1532.8999999999999</v>
      </c>
      <c r="X91" s="94">
        <f t="shared" si="20"/>
        <v>1471.7999999999997</v>
      </c>
      <c r="Y91" s="94">
        <f t="shared" si="20"/>
        <v>1518.3999999999999</v>
      </c>
      <c r="Z91" s="94">
        <f t="shared" si="20"/>
        <v>1589.1999999999998</v>
      </c>
      <c r="AA91" s="94">
        <f t="shared" si="20"/>
        <v>1613.3999999999996</v>
      </c>
      <c r="AB91" s="94">
        <f t="shared" si="20"/>
        <v>1592</v>
      </c>
      <c r="AC91" s="94">
        <f t="shared" si="19"/>
        <v>1571.6999999999998</v>
      </c>
      <c r="AD91" s="94">
        <f t="shared" si="19"/>
        <v>1541.9999999999998</v>
      </c>
      <c r="AE91" s="94">
        <f t="shared" si="19"/>
        <v>1792.8999999999999</v>
      </c>
      <c r="AF91" s="94">
        <f t="shared" si="19"/>
        <v>1872.8999999999999</v>
      </c>
      <c r="AG91" s="87">
        <f>AG88+AG84+AG72+AG68+AG50+AG90</f>
        <v>1573.45</v>
      </c>
      <c r="AH91" s="47">
        <f t="shared" si="13"/>
        <v>2027.9999999999998</v>
      </c>
      <c r="AI91" s="48">
        <f t="shared" si="14"/>
        <v>1471.7999999999997</v>
      </c>
    </row>
    <row r="92" spans="1:40" ht="15.75" thickBot="1" x14ac:dyDescent="0.3">
      <c r="A92" s="73" t="s">
        <v>103</v>
      </c>
      <c r="B92" s="94">
        <f>B91-(-B99)</f>
        <v>1711.9999999999998</v>
      </c>
      <c r="C92" s="94">
        <f t="shared" ref="C92:AF92" si="21">C91-(-C99)</f>
        <v>1659</v>
      </c>
      <c r="D92" s="94">
        <f t="shared" si="21"/>
        <v>1598</v>
      </c>
      <c r="E92" s="94">
        <f t="shared" si="21"/>
        <v>1563.3000000000002</v>
      </c>
      <c r="F92" s="94">
        <f t="shared" si="21"/>
        <v>1498.3999999999999</v>
      </c>
      <c r="G92" s="94">
        <f t="shared" si="21"/>
        <v>1399.9999999999995</v>
      </c>
      <c r="H92" s="94">
        <f t="shared" si="21"/>
        <v>1367.6999999999996</v>
      </c>
      <c r="I92" s="94">
        <f t="shared" si="21"/>
        <v>1374.6999999999996</v>
      </c>
      <c r="J92" s="94">
        <f t="shared" si="21"/>
        <v>1378.3999999999996</v>
      </c>
      <c r="K92" s="94">
        <f t="shared" si="21"/>
        <v>1329.1999999999998</v>
      </c>
      <c r="L92" s="94">
        <f t="shared" si="21"/>
        <v>1351.3</v>
      </c>
      <c r="M92" s="94">
        <f t="shared" si="21"/>
        <v>1406.2</v>
      </c>
      <c r="N92" s="94">
        <f t="shared" si="21"/>
        <v>1388.1999999999998</v>
      </c>
      <c r="O92" s="94">
        <f t="shared" si="21"/>
        <v>1429.6999999999998</v>
      </c>
      <c r="P92" s="94">
        <f t="shared" si="21"/>
        <v>1455.8000000000002</v>
      </c>
      <c r="Q92" s="94">
        <f t="shared" si="21"/>
        <v>1463</v>
      </c>
      <c r="R92" s="94">
        <f t="shared" si="21"/>
        <v>1447.5</v>
      </c>
      <c r="S92" s="94">
        <f t="shared" si="21"/>
        <v>1458.5</v>
      </c>
      <c r="T92" s="94">
        <f t="shared" si="21"/>
        <v>1463.2000000000003</v>
      </c>
      <c r="U92" s="94">
        <f t="shared" si="21"/>
        <v>1415.1000000000001</v>
      </c>
      <c r="V92" s="94">
        <f t="shared" ref="V92:AB92" si="22">V91-(-V99)</f>
        <v>1396.8999999999999</v>
      </c>
      <c r="W92" s="94">
        <f t="shared" si="22"/>
        <v>1436.8999999999999</v>
      </c>
      <c r="X92" s="94">
        <f t="shared" si="22"/>
        <v>1478.3999999999996</v>
      </c>
      <c r="Y92" s="94">
        <f t="shared" si="22"/>
        <v>1571.6</v>
      </c>
      <c r="Z92" s="94">
        <f t="shared" si="22"/>
        <v>1648.2999999999997</v>
      </c>
      <c r="AA92" s="94">
        <f t="shared" si="22"/>
        <v>1675.9999999999995</v>
      </c>
      <c r="AB92" s="94">
        <f t="shared" si="22"/>
        <v>1645.5</v>
      </c>
      <c r="AC92" s="94">
        <f t="shared" si="21"/>
        <v>1574.1999999999998</v>
      </c>
      <c r="AD92" s="94">
        <f t="shared" si="21"/>
        <v>1541.4999999999998</v>
      </c>
      <c r="AE92" s="94">
        <f t="shared" si="21"/>
        <v>1495.8999999999999</v>
      </c>
      <c r="AF92" s="94">
        <f t="shared" si="21"/>
        <v>1489.8999999999999</v>
      </c>
      <c r="AG92" s="87"/>
      <c r="AH92" s="47">
        <f t="shared" si="13"/>
        <v>1711.9999999999998</v>
      </c>
      <c r="AI92" s="48">
        <f t="shared" si="14"/>
        <v>1329.1999999999998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3"/>
        <v>0</v>
      </c>
      <c r="AI93" s="48">
        <f t="shared" si="14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3"/>
        <v>0</v>
      </c>
      <c r="AI94" s="48">
        <f t="shared" si="14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3"/>
        <v>0</v>
      </c>
      <c r="AI95" s="48">
        <f t="shared" si="14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3"/>
        <v>0</v>
      </c>
      <c r="AI96" s="48">
        <f t="shared" si="14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3"/>
        <v>0</v>
      </c>
      <c r="AI97" s="48">
        <f t="shared" si="14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3"/>
        <v>0</v>
      </c>
      <c r="AI98" s="48">
        <f t="shared" si="14"/>
        <v>0</v>
      </c>
    </row>
    <row r="99" spans="1:37" ht="15.75" thickBot="1" x14ac:dyDescent="0.3">
      <c r="A99" s="98" t="s">
        <v>107</v>
      </c>
      <c r="B99" s="60">
        <f>B75</f>
        <v>-316</v>
      </c>
      <c r="C99" s="60">
        <f t="shared" ref="C99:AF99" si="23">C75</f>
        <v>-339</v>
      </c>
      <c r="D99" s="60">
        <f t="shared" si="23"/>
        <v>-394</v>
      </c>
      <c r="E99" s="60">
        <f t="shared" si="23"/>
        <v>-430.6</v>
      </c>
      <c r="F99" s="60">
        <f t="shared" si="23"/>
        <v>-173.3</v>
      </c>
      <c r="G99" s="60">
        <f t="shared" si="23"/>
        <v>-162</v>
      </c>
      <c r="H99" s="60">
        <f t="shared" si="23"/>
        <v>-187.2</v>
      </c>
      <c r="I99" s="60">
        <f t="shared" si="23"/>
        <v>-182.7</v>
      </c>
      <c r="J99" s="60">
        <f t="shared" si="23"/>
        <v>-173.5</v>
      </c>
      <c r="K99" s="60">
        <f t="shared" si="23"/>
        <v>-174.9</v>
      </c>
      <c r="L99" s="60">
        <f t="shared" si="23"/>
        <v>-165</v>
      </c>
      <c r="M99" s="60">
        <f t="shared" si="23"/>
        <v>-121</v>
      </c>
      <c r="N99" s="60">
        <f t="shared" si="23"/>
        <v>-136</v>
      </c>
      <c r="O99" s="60">
        <f t="shared" si="23"/>
        <v>-112.1</v>
      </c>
      <c r="P99" s="60">
        <f t="shared" si="23"/>
        <v>-94</v>
      </c>
      <c r="Q99" s="60">
        <f t="shared" si="23"/>
        <v>-105</v>
      </c>
      <c r="R99" s="60">
        <f t="shared" si="23"/>
        <v>-89</v>
      </c>
      <c r="S99" s="60">
        <f t="shared" si="23"/>
        <v>-92</v>
      </c>
      <c r="T99" s="60">
        <f t="shared" si="23"/>
        <v>-82.6</v>
      </c>
      <c r="U99" s="60">
        <f t="shared" si="23"/>
        <v>-124</v>
      </c>
      <c r="V99" s="60">
        <f t="shared" ref="V99:AB99" si="24">V75</f>
        <v>-136</v>
      </c>
      <c r="W99" s="60">
        <f t="shared" si="24"/>
        <v>-96</v>
      </c>
      <c r="X99" s="60">
        <f t="shared" si="24"/>
        <v>6.6</v>
      </c>
      <c r="Y99" s="60">
        <f t="shared" si="24"/>
        <v>53.2</v>
      </c>
      <c r="Z99" s="60">
        <f t="shared" si="24"/>
        <v>59.1</v>
      </c>
      <c r="AA99" s="60">
        <f t="shared" si="24"/>
        <v>62.6</v>
      </c>
      <c r="AB99" s="60">
        <f t="shared" si="24"/>
        <v>53.5</v>
      </c>
      <c r="AC99" s="60">
        <f t="shared" si="23"/>
        <v>2.5</v>
      </c>
      <c r="AD99" s="60">
        <f t="shared" si="23"/>
        <v>-0.5</v>
      </c>
      <c r="AE99" s="60">
        <f t="shared" si="23"/>
        <v>-297</v>
      </c>
      <c r="AF99" s="60">
        <f t="shared" si="23"/>
        <v>-383</v>
      </c>
      <c r="AG99" s="87"/>
      <c r="AH99" s="47">
        <f t="shared" si="13"/>
        <v>62.6</v>
      </c>
      <c r="AI99" s="48">
        <f t="shared" si="14"/>
        <v>-430.6</v>
      </c>
      <c r="AK99" s="50"/>
    </row>
    <row r="100" spans="1:37" ht="15.75" thickBot="1" x14ac:dyDescent="0.3">
      <c r="A100" s="73" t="s">
        <v>108</v>
      </c>
      <c r="B100" s="60">
        <f t="shared" ref="B100:AF100" si="25">B84-B99</f>
        <v>316</v>
      </c>
      <c r="C100" s="60">
        <f t="shared" si="25"/>
        <v>339</v>
      </c>
      <c r="D100" s="60">
        <f t="shared" si="25"/>
        <v>394</v>
      </c>
      <c r="E100" s="60">
        <f t="shared" si="25"/>
        <v>430.6</v>
      </c>
      <c r="F100" s="60">
        <f t="shared" si="25"/>
        <v>173.3</v>
      </c>
      <c r="G100" s="60">
        <f t="shared" si="25"/>
        <v>162</v>
      </c>
      <c r="H100" s="60">
        <f t="shared" si="25"/>
        <v>187.2</v>
      </c>
      <c r="I100" s="60">
        <f t="shared" si="25"/>
        <v>182.7</v>
      </c>
      <c r="J100" s="60">
        <f t="shared" si="25"/>
        <v>173.5</v>
      </c>
      <c r="K100" s="60">
        <f t="shared" si="25"/>
        <v>174.9</v>
      </c>
      <c r="L100" s="60">
        <f t="shared" si="25"/>
        <v>165</v>
      </c>
      <c r="M100" s="60">
        <f t="shared" si="25"/>
        <v>121</v>
      </c>
      <c r="N100" s="60">
        <f t="shared" si="25"/>
        <v>136</v>
      </c>
      <c r="O100" s="60">
        <f t="shared" si="25"/>
        <v>112.1</v>
      </c>
      <c r="P100" s="60">
        <f t="shared" si="25"/>
        <v>94</v>
      </c>
      <c r="Q100" s="60">
        <f t="shared" si="25"/>
        <v>105</v>
      </c>
      <c r="R100" s="60">
        <f t="shared" si="25"/>
        <v>89</v>
      </c>
      <c r="S100" s="60">
        <f t="shared" si="25"/>
        <v>92</v>
      </c>
      <c r="T100" s="60">
        <f t="shared" si="25"/>
        <v>82.6</v>
      </c>
      <c r="U100" s="60">
        <f t="shared" si="25"/>
        <v>124</v>
      </c>
      <c r="V100" s="60">
        <f t="shared" ref="V100:AB100" si="26">V84-V99</f>
        <v>136</v>
      </c>
      <c r="W100" s="60">
        <f t="shared" si="26"/>
        <v>96</v>
      </c>
      <c r="X100" s="60">
        <f t="shared" si="26"/>
        <v>0</v>
      </c>
      <c r="Y100" s="60">
        <f t="shared" si="26"/>
        <v>0</v>
      </c>
      <c r="Z100" s="60">
        <f t="shared" si="26"/>
        <v>0</v>
      </c>
      <c r="AA100" s="60">
        <f t="shared" si="26"/>
        <v>0</v>
      </c>
      <c r="AB100" s="60">
        <f t="shared" si="26"/>
        <v>0</v>
      </c>
      <c r="AC100" s="60">
        <f t="shared" si="25"/>
        <v>0</v>
      </c>
      <c r="AD100" s="60">
        <f t="shared" si="25"/>
        <v>0.5</v>
      </c>
      <c r="AE100" s="60">
        <f t="shared" si="25"/>
        <v>297</v>
      </c>
      <c r="AF100" s="60">
        <f t="shared" si="25"/>
        <v>383</v>
      </c>
      <c r="AG100" s="87"/>
      <c r="AH100" s="47">
        <f t="shared" si="13"/>
        <v>430.6</v>
      </c>
      <c r="AI100" s="48">
        <f t="shared" si="14"/>
        <v>0</v>
      </c>
    </row>
    <row r="101" spans="1:37" x14ac:dyDescent="0.25">
      <c r="A101" s="99" t="s">
        <v>109</v>
      </c>
      <c r="B101" s="100">
        <v>50.015000000000001</v>
      </c>
      <c r="C101" s="100">
        <v>50.012</v>
      </c>
      <c r="D101" s="100">
        <v>50.036999999999999</v>
      </c>
      <c r="E101" s="100">
        <v>50.06</v>
      </c>
      <c r="F101" s="100">
        <v>49.965000000000003</v>
      </c>
      <c r="G101" s="100">
        <v>50.027999999999999</v>
      </c>
      <c r="H101" s="100">
        <v>49.881</v>
      </c>
      <c r="I101" s="100">
        <v>49.997</v>
      </c>
      <c r="J101" s="100">
        <v>50.031999999999996</v>
      </c>
      <c r="K101" s="100">
        <v>50.027000000000001</v>
      </c>
      <c r="L101" s="100">
        <v>50.024000000000001</v>
      </c>
      <c r="M101" s="100">
        <v>50.012999999999998</v>
      </c>
      <c r="N101" s="100">
        <v>50.011000000000003</v>
      </c>
      <c r="O101" s="100">
        <v>50.029000000000003</v>
      </c>
      <c r="P101" s="100">
        <v>50.054000000000002</v>
      </c>
      <c r="Q101" s="100">
        <v>50.045000000000002</v>
      </c>
      <c r="R101" s="100">
        <v>50.072000000000003</v>
      </c>
      <c r="S101" s="100">
        <v>50.091999999999999</v>
      </c>
      <c r="T101" s="100">
        <v>50</v>
      </c>
      <c r="U101" s="100">
        <v>50.112000000000002</v>
      </c>
      <c r="V101" s="100">
        <v>50.109000000000002</v>
      </c>
      <c r="W101" s="100">
        <v>50.109000000000002</v>
      </c>
      <c r="X101" s="100">
        <v>49.914999999999999</v>
      </c>
      <c r="Y101" s="100">
        <v>49.914999999999999</v>
      </c>
      <c r="Z101" s="100">
        <v>49.98</v>
      </c>
      <c r="AA101" s="100">
        <v>49.98</v>
      </c>
      <c r="AB101" s="100">
        <v>50.188000000000002</v>
      </c>
      <c r="AC101" s="100">
        <v>50.08</v>
      </c>
      <c r="AD101" s="100">
        <v>50.006999999999998</v>
      </c>
      <c r="AE101" s="100">
        <v>50.055999999999997</v>
      </c>
      <c r="AF101" s="100">
        <v>49.997</v>
      </c>
      <c r="AG101" s="101"/>
      <c r="AH101" s="47">
        <f t="shared" si="13"/>
        <v>50.188000000000002</v>
      </c>
      <c r="AI101" s="48">
        <f t="shared" si="14"/>
        <v>49.881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3"/>
        <v>0</v>
      </c>
      <c r="AI102" s="48">
        <f t="shared" si="14"/>
        <v>0</v>
      </c>
    </row>
    <row r="103" spans="1:37" x14ac:dyDescent="0.25">
      <c r="A103" s="102" t="s">
        <v>111</v>
      </c>
      <c r="B103" s="64">
        <v>128.69999999999999</v>
      </c>
      <c r="C103" s="64">
        <v>128.19999999999999</v>
      </c>
      <c r="D103" s="64">
        <v>129.69999999999999</v>
      </c>
      <c r="E103" s="64">
        <v>130.4</v>
      </c>
      <c r="F103" s="64">
        <v>131.4</v>
      </c>
      <c r="G103" s="64">
        <v>130.5</v>
      </c>
      <c r="H103" s="64">
        <v>129.69999999999999</v>
      </c>
      <c r="I103" s="64">
        <v>129.19999999999999</v>
      </c>
      <c r="J103" s="64">
        <v>128.80000000000001</v>
      </c>
      <c r="K103" s="64">
        <v>127.3</v>
      </c>
      <c r="L103" s="64">
        <v>128.1</v>
      </c>
      <c r="M103" s="64">
        <v>128.1</v>
      </c>
      <c r="N103" s="64">
        <v>127.9</v>
      </c>
      <c r="O103" s="64">
        <v>128.1</v>
      </c>
      <c r="P103" s="64">
        <v>128.1</v>
      </c>
      <c r="Q103" s="64">
        <v>128.1</v>
      </c>
      <c r="R103" s="64">
        <v>128.80000000000001</v>
      </c>
      <c r="S103" s="64">
        <v>129.4</v>
      </c>
      <c r="T103" s="64">
        <v>129.4</v>
      </c>
      <c r="U103" s="64">
        <v>129.4</v>
      </c>
      <c r="V103" s="64">
        <v>129.9</v>
      </c>
      <c r="W103" s="64">
        <v>129.9</v>
      </c>
      <c r="X103" s="64">
        <v>129.69999999999999</v>
      </c>
      <c r="Y103" s="64">
        <v>129.69999999999999</v>
      </c>
      <c r="Z103" s="64">
        <v>126.1</v>
      </c>
      <c r="AA103" s="64">
        <v>127</v>
      </c>
      <c r="AB103" s="64">
        <v>129.4</v>
      </c>
      <c r="AC103" s="64">
        <v>128.4</v>
      </c>
      <c r="AD103" s="64">
        <v>128.19999999999999</v>
      </c>
      <c r="AE103" s="64">
        <v>129.69999999999999</v>
      </c>
      <c r="AF103" s="64">
        <v>129.30000000000001</v>
      </c>
      <c r="AG103" s="103"/>
      <c r="AH103" s="47">
        <f t="shared" si="13"/>
        <v>131.4</v>
      </c>
      <c r="AI103" s="48">
        <f t="shared" si="14"/>
        <v>126.1</v>
      </c>
    </row>
    <row r="104" spans="1:37" x14ac:dyDescent="0.25">
      <c r="A104" s="102" t="s">
        <v>112</v>
      </c>
      <c r="B104" s="64">
        <v>129</v>
      </c>
      <c r="C104" s="64">
        <v>129.30000000000001</v>
      </c>
      <c r="D104" s="64">
        <v>130.6</v>
      </c>
      <c r="E104" s="64">
        <v>131.1</v>
      </c>
      <c r="F104" s="64">
        <v>131.1</v>
      </c>
      <c r="G104" s="64">
        <v>131.30000000000001</v>
      </c>
      <c r="H104" s="64">
        <v>132.19999999999999</v>
      </c>
      <c r="I104" s="64">
        <v>129.9</v>
      </c>
      <c r="J104" s="64">
        <v>129.80000000000001</v>
      </c>
      <c r="K104" s="64">
        <v>129.69999999999999</v>
      </c>
      <c r="L104" s="64">
        <v>129.5</v>
      </c>
      <c r="M104" s="64">
        <v>129.5</v>
      </c>
      <c r="N104" s="64">
        <v>128.5</v>
      </c>
      <c r="O104" s="64">
        <v>128.30000000000001</v>
      </c>
      <c r="P104" s="64">
        <v>128.30000000000001</v>
      </c>
      <c r="Q104" s="64">
        <v>128.30000000000001</v>
      </c>
      <c r="R104" s="64">
        <v>129</v>
      </c>
      <c r="S104" s="64">
        <v>129</v>
      </c>
      <c r="T104" s="64">
        <v>129</v>
      </c>
      <c r="U104" s="64">
        <v>129</v>
      </c>
      <c r="V104" s="64">
        <v>131.4</v>
      </c>
      <c r="W104" s="64">
        <v>131.4</v>
      </c>
      <c r="X104" s="64">
        <v>136.80000000000001</v>
      </c>
      <c r="Y104" s="64">
        <v>136.80000000000001</v>
      </c>
      <c r="Z104" s="64">
        <v>136.80000000000001</v>
      </c>
      <c r="AA104" s="64">
        <v>131.4</v>
      </c>
      <c r="AB104" s="64">
        <v>131.4</v>
      </c>
      <c r="AC104" s="64">
        <v>130.1</v>
      </c>
      <c r="AD104" s="64">
        <v>130.69999999999999</v>
      </c>
      <c r="AE104" s="64">
        <v>128.9</v>
      </c>
      <c r="AF104" s="64">
        <v>131.4</v>
      </c>
      <c r="AG104" s="103"/>
      <c r="AH104" s="47">
        <f t="shared" si="13"/>
        <v>136.80000000000001</v>
      </c>
      <c r="AI104" s="48">
        <f t="shared" si="14"/>
        <v>128.30000000000001</v>
      </c>
    </row>
    <row r="105" spans="1:37" x14ac:dyDescent="0.25">
      <c r="A105" s="104" t="s">
        <v>113</v>
      </c>
      <c r="B105" s="64">
        <v>132.4</v>
      </c>
      <c r="C105" s="64">
        <v>132.4</v>
      </c>
      <c r="D105" s="64">
        <v>133.6</v>
      </c>
      <c r="E105" s="64">
        <v>134.30000000000001</v>
      </c>
      <c r="F105" s="64">
        <v>134.5</v>
      </c>
      <c r="G105" s="64">
        <v>133.80000000000001</v>
      </c>
      <c r="H105" s="64">
        <v>133.4</v>
      </c>
      <c r="I105" s="64">
        <v>129</v>
      </c>
      <c r="J105" s="64">
        <v>130.80000000000001</v>
      </c>
      <c r="K105" s="64">
        <v>131.69999999999999</v>
      </c>
      <c r="L105" s="64">
        <v>131.30000000000001</v>
      </c>
      <c r="M105" s="64">
        <v>131.30000000000001</v>
      </c>
      <c r="N105" s="64">
        <v>129.5</v>
      </c>
      <c r="O105" s="64">
        <v>129.9</v>
      </c>
      <c r="P105" s="64">
        <v>129.9</v>
      </c>
      <c r="Q105" s="64">
        <v>129.9</v>
      </c>
      <c r="R105" s="64">
        <v>131.4</v>
      </c>
      <c r="S105" s="64">
        <v>130.9</v>
      </c>
      <c r="T105" s="64">
        <v>130.9</v>
      </c>
      <c r="U105" s="64">
        <v>130.9</v>
      </c>
      <c r="V105" s="64">
        <v>133.6</v>
      </c>
      <c r="W105" s="64">
        <v>133.6</v>
      </c>
      <c r="X105" s="64">
        <v>0</v>
      </c>
      <c r="Y105" s="64">
        <v>0</v>
      </c>
      <c r="Z105" s="64">
        <v>0</v>
      </c>
      <c r="AA105" s="64">
        <v>132</v>
      </c>
      <c r="AB105" s="64">
        <v>132.30000000000001</v>
      </c>
      <c r="AC105" s="64">
        <v>131.4</v>
      </c>
      <c r="AD105" s="64">
        <v>131.69999999999999</v>
      </c>
      <c r="AE105" s="64"/>
      <c r="AF105" s="64"/>
      <c r="AG105" s="103"/>
      <c r="AH105" s="47">
        <f t="shared" si="13"/>
        <v>134.5</v>
      </c>
      <c r="AI105" s="48">
        <f t="shared" si="14"/>
        <v>0</v>
      </c>
    </row>
    <row r="106" spans="1:37" x14ac:dyDescent="0.25">
      <c r="A106" s="104" t="s">
        <v>114</v>
      </c>
      <c r="B106" s="105">
        <v>134.19999999999999</v>
      </c>
      <c r="C106" s="105">
        <v>131.6</v>
      </c>
      <c r="D106" s="105">
        <v>132.19999999999999</v>
      </c>
      <c r="E106" s="105">
        <v>133.30000000000001</v>
      </c>
      <c r="F106" s="105">
        <v>134.80000000000001</v>
      </c>
      <c r="G106" s="105">
        <v>132.80000000000001</v>
      </c>
      <c r="H106" s="105">
        <v>130.9</v>
      </c>
      <c r="I106" s="105">
        <v>129.9</v>
      </c>
      <c r="J106" s="105">
        <v>133.80000000000001</v>
      </c>
      <c r="K106" s="105">
        <v>134.1</v>
      </c>
      <c r="L106" s="105">
        <v>132.5</v>
      </c>
      <c r="M106" s="105">
        <v>132.5</v>
      </c>
      <c r="N106" s="105">
        <v>130</v>
      </c>
      <c r="O106" s="105">
        <v>131.5</v>
      </c>
      <c r="P106" s="105">
        <v>131.5</v>
      </c>
      <c r="Q106" s="105">
        <v>131.5</v>
      </c>
      <c r="R106" s="105">
        <v>133.5</v>
      </c>
      <c r="S106" s="105">
        <v>134.74</v>
      </c>
      <c r="T106" s="105">
        <v>134.74</v>
      </c>
      <c r="U106" s="105">
        <v>134.74</v>
      </c>
      <c r="V106" s="105">
        <v>1289</v>
      </c>
      <c r="W106" s="105">
        <v>1289</v>
      </c>
      <c r="X106" s="105">
        <v>130.69999999999999</v>
      </c>
      <c r="Y106" s="105">
        <v>130.69999999999999</v>
      </c>
      <c r="Z106" s="105">
        <v>130.69999999999999</v>
      </c>
      <c r="AA106" s="105">
        <v>128.4</v>
      </c>
      <c r="AB106" s="105">
        <v>136.1</v>
      </c>
      <c r="AC106" s="105">
        <v>132.5</v>
      </c>
      <c r="AD106" s="105">
        <v>134.1</v>
      </c>
      <c r="AE106" s="105">
        <v>133.9</v>
      </c>
      <c r="AF106" s="105">
        <v>131.19999999999999</v>
      </c>
      <c r="AG106" s="106"/>
      <c r="AH106" s="47">
        <f t="shared" si="13"/>
        <v>1289</v>
      </c>
      <c r="AI106" s="48">
        <f t="shared" si="14"/>
        <v>128.4</v>
      </c>
    </row>
    <row r="107" spans="1:37" x14ac:dyDescent="0.25">
      <c r="A107" s="102" t="s">
        <v>115</v>
      </c>
      <c r="B107" s="64">
        <v>129.6</v>
      </c>
      <c r="C107" s="64">
        <v>127.7</v>
      </c>
      <c r="D107" s="64">
        <v>132.80000000000001</v>
      </c>
      <c r="E107" s="64">
        <v>135.1</v>
      </c>
      <c r="F107" s="64">
        <v>139.9</v>
      </c>
      <c r="G107" s="64">
        <v>135.69999999999999</v>
      </c>
      <c r="H107" s="64">
        <v>133.19999999999999</v>
      </c>
      <c r="I107" s="64">
        <v>130.80000000000001</v>
      </c>
      <c r="J107" s="64">
        <v>137.9</v>
      </c>
      <c r="K107" s="64">
        <v>135.30000000000001</v>
      </c>
      <c r="L107" s="64">
        <v>132.80000000000001</v>
      </c>
      <c r="M107" s="64">
        <v>132.80000000000001</v>
      </c>
      <c r="N107" s="64">
        <v>127.2</v>
      </c>
      <c r="O107" s="64">
        <v>132.69999999999999</v>
      </c>
      <c r="P107" s="64">
        <v>132.69999999999999</v>
      </c>
      <c r="Q107" s="64">
        <v>132.69999999999999</v>
      </c>
      <c r="R107" s="64">
        <v>135.30000000000001</v>
      </c>
      <c r="S107" s="64">
        <v>136</v>
      </c>
      <c r="T107" s="64">
        <v>136</v>
      </c>
      <c r="U107" s="64">
        <v>136</v>
      </c>
      <c r="V107" s="64">
        <v>129.4</v>
      </c>
      <c r="W107" s="64">
        <v>129.4</v>
      </c>
      <c r="X107" s="64">
        <v>129.4</v>
      </c>
      <c r="Y107" s="64">
        <v>129.4</v>
      </c>
      <c r="Z107" s="64">
        <v>129.4</v>
      </c>
      <c r="AA107" s="64">
        <v>128.80000000000001</v>
      </c>
      <c r="AB107" s="64">
        <v>139.4</v>
      </c>
      <c r="AC107" s="64">
        <v>129.69999999999999</v>
      </c>
      <c r="AD107" s="64">
        <v>133.30000000000001</v>
      </c>
      <c r="AE107" s="64">
        <v>129.6</v>
      </c>
      <c r="AF107" s="64">
        <v>126.2</v>
      </c>
      <c r="AG107" s="103"/>
      <c r="AH107" s="47">
        <f t="shared" si="13"/>
        <v>139.9</v>
      </c>
      <c r="AI107" s="48">
        <f t="shared" si="14"/>
        <v>126.2</v>
      </c>
    </row>
    <row r="108" spans="1:37" ht="15.75" thickBot="1" x14ac:dyDescent="0.3">
      <c r="A108" s="102" t="s">
        <v>116</v>
      </c>
      <c r="B108" s="91">
        <v>64.8</v>
      </c>
      <c r="C108" s="91">
        <v>64.7</v>
      </c>
      <c r="D108" s="91">
        <v>65.5</v>
      </c>
      <c r="E108" s="91">
        <v>65.900000000000006</v>
      </c>
      <c r="F108" s="91">
        <v>66.400000000000006</v>
      </c>
      <c r="G108" s="91">
        <v>65.900000000000006</v>
      </c>
      <c r="H108" s="91">
        <v>65.5</v>
      </c>
      <c r="I108" s="91">
        <v>65.099999999999994</v>
      </c>
      <c r="J108" s="91">
        <v>64.599999999999994</v>
      </c>
      <c r="K108" s="91">
        <v>63.8</v>
      </c>
      <c r="L108" s="91">
        <v>64.5</v>
      </c>
      <c r="M108" s="91">
        <v>64.5</v>
      </c>
      <c r="N108" s="91">
        <v>64.599999999999994</v>
      </c>
      <c r="O108" s="91">
        <v>64.599999999999994</v>
      </c>
      <c r="P108" s="91">
        <v>64.599999999999994</v>
      </c>
      <c r="Q108" s="91">
        <v>64.599999999999994</v>
      </c>
      <c r="R108" s="91">
        <v>64.599999999999994</v>
      </c>
      <c r="S108" s="91">
        <v>64.8</v>
      </c>
      <c r="T108" s="91">
        <v>64.8</v>
      </c>
      <c r="U108" s="91">
        <v>64.8</v>
      </c>
      <c r="V108" s="91">
        <v>65.2</v>
      </c>
      <c r="W108" s="91">
        <v>65.2</v>
      </c>
      <c r="X108" s="91">
        <v>65</v>
      </c>
      <c r="Y108" s="91">
        <v>65</v>
      </c>
      <c r="Z108" s="91">
        <v>65</v>
      </c>
      <c r="AA108" s="91">
        <v>63.9</v>
      </c>
      <c r="AB108" s="91">
        <v>65.2</v>
      </c>
      <c r="AC108" s="91">
        <v>64.8</v>
      </c>
      <c r="AD108" s="91">
        <v>64.400000000000006</v>
      </c>
      <c r="AE108" s="91">
        <v>65.099999999999994</v>
      </c>
      <c r="AF108" s="91">
        <v>64.900000000000006</v>
      </c>
      <c r="AG108" s="107"/>
      <c r="AH108" s="47">
        <f t="shared" si="13"/>
        <v>66.400000000000006</v>
      </c>
      <c r="AI108" s="48">
        <f t="shared" si="14"/>
        <v>63.8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3"/>
        <v>0</v>
      </c>
      <c r="AI109" s="48">
        <f t="shared" si="14"/>
        <v>0</v>
      </c>
    </row>
    <row r="110" spans="1:37" ht="15.75" thickBot="1" x14ac:dyDescent="0.3">
      <c r="A110" s="109" t="s">
        <v>118</v>
      </c>
      <c r="B110" s="110">
        <f t="shared" ref="B110:O110" si="27">SUM(B20,B26,B29:B30,B58,B60:B61,B63,B65,B111:B115,B138,B144,B150,B159,B161,B173,B180,B183:B184,B191,B193,B195,B199:B201,B203:B205,B210,B216:B217,B219:B221,B229,B234)</f>
        <v>56.900000000000006</v>
      </c>
      <c r="C110" s="110">
        <f t="shared" si="27"/>
        <v>41.939999999999991</v>
      </c>
      <c r="D110" s="110">
        <f t="shared" si="27"/>
        <v>52.94</v>
      </c>
      <c r="E110" s="110">
        <f t="shared" si="27"/>
        <v>30.940000000000012</v>
      </c>
      <c r="F110" s="110">
        <f t="shared" si="27"/>
        <v>41.040000000000013</v>
      </c>
      <c r="G110" s="110">
        <f t="shared" si="27"/>
        <v>63.139999999999972</v>
      </c>
      <c r="H110" s="110">
        <f t="shared" si="27"/>
        <v>81.739999999999981</v>
      </c>
      <c r="I110" s="110">
        <f t="shared" si="27"/>
        <v>81.14</v>
      </c>
      <c r="J110" s="110">
        <f t="shared" si="27"/>
        <v>91.039999999999978</v>
      </c>
      <c r="K110" s="110">
        <f t="shared" si="27"/>
        <v>134.13999999999999</v>
      </c>
      <c r="L110" s="110">
        <f t="shared" si="27"/>
        <v>141.93999999999997</v>
      </c>
      <c r="M110" s="110">
        <f t="shared" si="27"/>
        <v>141.93999999999997</v>
      </c>
      <c r="N110" s="110">
        <f t="shared" si="27"/>
        <v>174.23999999999998</v>
      </c>
      <c r="O110" s="110">
        <f t="shared" si="27"/>
        <v>161.73999999999998</v>
      </c>
      <c r="P110" s="110">
        <v>42</v>
      </c>
      <c r="Q110" s="110">
        <f t="shared" ref="Q110:AF110" si="28">SUM(Q20,Q26,Q29:Q30,Q58,Q60:Q61,Q63,Q65,Q111:Q115,Q138,Q144,Q150,Q159,Q161,Q173,Q180,Q183:Q184,Q191,Q193,Q195,Q199:Q201,Q203:Q205,Q210,Q216:Q217,Q219:Q221,Q229,Q234)</f>
        <v>165.60000000000002</v>
      </c>
      <c r="R110" s="110">
        <f t="shared" si="28"/>
        <v>181.9</v>
      </c>
      <c r="S110" s="110">
        <f t="shared" si="28"/>
        <v>176.7</v>
      </c>
      <c r="T110" s="110">
        <f t="shared" si="28"/>
        <v>166.9</v>
      </c>
      <c r="U110" s="110">
        <f t="shared" si="28"/>
        <v>100.52999999999999</v>
      </c>
      <c r="V110" s="110">
        <f t="shared" ref="V110:AB110" si="29">SUM(V20,V26,V29:V30,V58,V60:V61,V63,V65,V111:V115,V138,V144,V150,V159,V161,V173,V180,V183:V184,V191,V193,V195,V199:V201,V203:V205,V210,V216:V217,V219:V221,V229,V234)</f>
        <v>219.60000000000002</v>
      </c>
      <c r="W110" s="110">
        <f t="shared" si="29"/>
        <v>219.60000000000002</v>
      </c>
      <c r="X110" s="110">
        <f t="shared" si="29"/>
        <v>187.2</v>
      </c>
      <c r="Y110" s="110">
        <f t="shared" si="29"/>
        <v>240.60000000000002</v>
      </c>
      <c r="Z110" s="110">
        <f t="shared" si="29"/>
        <v>239.59999999999997</v>
      </c>
      <c r="AA110" s="110">
        <f t="shared" si="29"/>
        <v>469.59999999999997</v>
      </c>
      <c r="AB110" s="110">
        <f t="shared" si="29"/>
        <v>181.49999999999997</v>
      </c>
      <c r="AC110" s="110">
        <f t="shared" si="28"/>
        <v>175.99999999999994</v>
      </c>
      <c r="AD110" s="110"/>
      <c r="AE110" s="110">
        <f t="shared" si="28"/>
        <v>89.999999999999957</v>
      </c>
      <c r="AF110" s="110">
        <f t="shared" si="28"/>
        <v>62.099999999999994</v>
      </c>
      <c r="AG110" s="111"/>
      <c r="AH110" s="47">
        <f t="shared" si="13"/>
        <v>469.59999999999997</v>
      </c>
      <c r="AI110" s="48">
        <f t="shared" si="14"/>
        <v>30.940000000000012</v>
      </c>
    </row>
    <row r="111" spans="1:37" x14ac:dyDescent="0.25">
      <c r="A111" s="99" t="s">
        <v>119</v>
      </c>
      <c r="B111" s="112">
        <v>15</v>
      </c>
      <c r="C111" s="112">
        <v>15.2</v>
      </c>
      <c r="D111" s="112">
        <v>12.1</v>
      </c>
      <c r="E111" s="112">
        <v>11.6</v>
      </c>
      <c r="F111" s="112">
        <v>13.1</v>
      </c>
      <c r="G111" s="112">
        <v>22.1</v>
      </c>
      <c r="H111" s="112">
        <v>25.5</v>
      </c>
      <c r="I111" s="112">
        <v>26.5</v>
      </c>
      <c r="J111" s="112">
        <v>30.1</v>
      </c>
      <c r="K111" s="112">
        <v>28.3</v>
      </c>
      <c r="L111" s="112">
        <v>29.9</v>
      </c>
      <c r="M111" s="112">
        <v>29.9</v>
      </c>
      <c r="N111" s="112">
        <v>28</v>
      </c>
      <c r="O111" s="112">
        <v>26.6</v>
      </c>
      <c r="P111" s="112">
        <v>26.6</v>
      </c>
      <c r="Q111" s="112">
        <v>26.6</v>
      </c>
      <c r="R111" s="112">
        <v>27.9</v>
      </c>
      <c r="S111" s="112">
        <v>26.4</v>
      </c>
      <c r="T111" s="112">
        <v>24.4</v>
      </c>
      <c r="U111" s="112">
        <v>18.2</v>
      </c>
      <c r="V111" s="112">
        <v>19.3</v>
      </c>
      <c r="W111" s="112">
        <v>19.3</v>
      </c>
      <c r="X111" s="112">
        <v>20.6</v>
      </c>
      <c r="Y111" s="112">
        <v>44.5</v>
      </c>
      <c r="Z111" s="112">
        <v>47.8</v>
      </c>
      <c r="AA111" s="112">
        <v>40.5</v>
      </c>
      <c r="AB111" s="112">
        <v>33.4</v>
      </c>
      <c r="AC111" s="112">
        <v>35.799999999999997</v>
      </c>
      <c r="AD111" s="112">
        <v>34.1</v>
      </c>
      <c r="AE111" s="112">
        <v>24.7</v>
      </c>
      <c r="AF111" s="112">
        <v>12.4</v>
      </c>
      <c r="AG111" s="113">
        <v>75</v>
      </c>
      <c r="AH111" s="47">
        <f t="shared" si="13"/>
        <v>47.8</v>
      </c>
      <c r="AI111" s="48">
        <f t="shared" si="14"/>
        <v>11.6</v>
      </c>
    </row>
    <row r="112" spans="1:37" x14ac:dyDescent="0.25">
      <c r="A112" s="102" t="s">
        <v>120</v>
      </c>
      <c r="B112" s="114">
        <v>24.3</v>
      </c>
      <c r="C112" s="114">
        <v>24.3</v>
      </c>
      <c r="D112" s="114">
        <v>19.3</v>
      </c>
      <c r="E112" s="114">
        <v>19.8</v>
      </c>
      <c r="F112" s="114">
        <v>24.5</v>
      </c>
      <c r="G112" s="114">
        <v>37.1</v>
      </c>
      <c r="H112" s="114">
        <v>41.1</v>
      </c>
      <c r="I112" s="114">
        <v>41.3</v>
      </c>
      <c r="J112" s="114">
        <v>46.1</v>
      </c>
      <c r="K112" s="114">
        <v>40.299999999999997</v>
      </c>
      <c r="L112" s="114">
        <v>42.3</v>
      </c>
      <c r="M112" s="114">
        <v>42.3</v>
      </c>
      <c r="N112" s="114">
        <v>40.700000000000003</v>
      </c>
      <c r="O112" s="114">
        <v>38.4</v>
      </c>
      <c r="P112" s="114">
        <v>38.4</v>
      </c>
      <c r="Q112" s="114">
        <v>38.4</v>
      </c>
      <c r="R112" s="114">
        <v>40.9</v>
      </c>
      <c r="S112" s="114">
        <v>36.5</v>
      </c>
      <c r="T112" s="114">
        <v>34.4</v>
      </c>
      <c r="U112" s="114">
        <v>24</v>
      </c>
      <c r="V112" s="114">
        <v>26.1</v>
      </c>
      <c r="W112" s="114">
        <v>26.1</v>
      </c>
      <c r="X112" s="114">
        <v>27</v>
      </c>
      <c r="Y112" s="114">
        <v>63</v>
      </c>
      <c r="Z112" s="114">
        <v>65.5</v>
      </c>
      <c r="AA112" s="114">
        <v>57.6</v>
      </c>
      <c r="AB112" s="114">
        <v>47.7</v>
      </c>
      <c r="AC112" s="114">
        <v>51.4</v>
      </c>
      <c r="AD112" s="114">
        <v>49.4</v>
      </c>
      <c r="AE112" s="114">
        <v>33.799999999999997</v>
      </c>
      <c r="AF112" s="114">
        <v>18.899999999999999</v>
      </c>
      <c r="AG112" s="113">
        <v>240</v>
      </c>
      <c r="AH112" s="47">
        <f t="shared" si="13"/>
        <v>65.5</v>
      </c>
      <c r="AI112" s="48">
        <f t="shared" si="14"/>
        <v>18.899999999999999</v>
      </c>
    </row>
    <row r="113" spans="1:37" x14ac:dyDescent="0.25">
      <c r="A113" s="102" t="s">
        <v>121</v>
      </c>
      <c r="B113" s="114">
        <v>-142</v>
      </c>
      <c r="C113" s="114">
        <v>-145</v>
      </c>
      <c r="D113" s="114">
        <v>-150</v>
      </c>
      <c r="E113" s="114">
        <f>-74.6-80</f>
        <v>-154.6</v>
      </c>
      <c r="F113" s="114">
        <f>-73.3-79.6</f>
        <v>-152.89999999999998</v>
      </c>
      <c r="G113" s="114">
        <f>-79.8-86.2</f>
        <v>-166</v>
      </c>
      <c r="H113" s="114">
        <f>-78.9-84.5</f>
        <v>-163.4</v>
      </c>
      <c r="I113" s="114">
        <f>-74-79.8</f>
        <v>-153.80000000000001</v>
      </c>
      <c r="J113" s="114">
        <f>-76.8-76</f>
        <v>-152.80000000000001</v>
      </c>
      <c r="K113" s="114">
        <f>-71.1-74.2</f>
        <v>-145.30000000000001</v>
      </c>
      <c r="L113" s="114">
        <f>-68.3-73.5</f>
        <v>-141.80000000000001</v>
      </c>
      <c r="M113" s="114">
        <f>-68.3-73.5</f>
        <v>-141.80000000000001</v>
      </c>
      <c r="N113" s="114">
        <v>-146</v>
      </c>
      <c r="O113" s="114">
        <v>-157</v>
      </c>
      <c r="P113" s="114">
        <v>-157</v>
      </c>
      <c r="Q113" s="114">
        <v>-157</v>
      </c>
      <c r="R113" s="114">
        <v>-150</v>
      </c>
      <c r="S113" s="114">
        <v>-150</v>
      </c>
      <c r="T113" s="114">
        <v>-151</v>
      </c>
      <c r="U113" s="114">
        <v>-140</v>
      </c>
      <c r="V113" s="114">
        <v>-79.900000000000006</v>
      </c>
      <c r="W113" s="114">
        <v>-79.900000000000006</v>
      </c>
      <c r="X113" s="114">
        <v>-133.30000000000001</v>
      </c>
      <c r="Y113" s="114">
        <v>-130.80000000000001</v>
      </c>
      <c r="Z113" s="114">
        <v>-125.9</v>
      </c>
      <c r="AA113" s="114">
        <f>--128.9</f>
        <v>128.9</v>
      </c>
      <c r="AB113" s="114">
        <v>-140</v>
      </c>
      <c r="AC113" s="114">
        <v>-150</v>
      </c>
      <c r="AD113" s="114">
        <v>-160</v>
      </c>
      <c r="AE113" s="114">
        <v>-140</v>
      </c>
      <c r="AF113" s="114">
        <v>-132</v>
      </c>
      <c r="AG113" s="113">
        <v>240</v>
      </c>
      <c r="AH113" s="47">
        <f t="shared" si="13"/>
        <v>128.9</v>
      </c>
      <c r="AI113" s="48">
        <f t="shared" si="14"/>
        <v>-166</v>
      </c>
    </row>
    <row r="114" spans="1:37" x14ac:dyDescent="0.25">
      <c r="A114" s="102" t="s">
        <v>122</v>
      </c>
      <c r="B114" s="114">
        <v>-11</v>
      </c>
      <c r="C114" s="114">
        <v>-12.1</v>
      </c>
      <c r="D114" s="114">
        <v>12</v>
      </c>
      <c r="E114" s="114">
        <v>-13.3</v>
      </c>
      <c r="F114" s="114">
        <v>-11.1</v>
      </c>
      <c r="G114" s="114">
        <v>-9.3000000000000007</v>
      </c>
      <c r="H114" s="114">
        <v>9</v>
      </c>
      <c r="I114" s="114">
        <v>-5.3</v>
      </c>
      <c r="J114" s="114">
        <v>-2.2000000000000002</v>
      </c>
      <c r="K114" s="114">
        <v>0.8</v>
      </c>
      <c r="L114" s="114">
        <v>1</v>
      </c>
      <c r="M114" s="114">
        <v>1</v>
      </c>
      <c r="N114" s="114">
        <v>9.6</v>
      </c>
      <c r="O114" s="114">
        <v>14.8</v>
      </c>
      <c r="P114" s="114">
        <v>14.8</v>
      </c>
      <c r="Q114" s="114">
        <v>14.8</v>
      </c>
      <c r="R114" s="114">
        <v>24.7</v>
      </c>
      <c r="S114" s="114">
        <v>25.8</v>
      </c>
      <c r="T114" s="114">
        <v>25.4</v>
      </c>
      <c r="U114" s="114">
        <v>25.23</v>
      </c>
      <c r="V114" s="114">
        <v>25.4</v>
      </c>
      <c r="W114" s="114">
        <v>25.4</v>
      </c>
      <c r="X114" s="114">
        <v>26.1</v>
      </c>
      <c r="Y114" s="114">
        <v>18.899999999999999</v>
      </c>
      <c r="Z114" s="114">
        <v>18.7</v>
      </c>
      <c r="AA114" s="114">
        <v>16.600000000000001</v>
      </c>
      <c r="AB114" s="114">
        <v>13.6</v>
      </c>
      <c r="AC114" s="114">
        <v>11</v>
      </c>
      <c r="AD114" s="114">
        <v>2.5</v>
      </c>
      <c r="AE114" s="114">
        <v>0.7</v>
      </c>
      <c r="AF114" s="114">
        <v>-3</v>
      </c>
      <c r="AG114" s="113">
        <v>60</v>
      </c>
      <c r="AH114" s="47">
        <f t="shared" si="13"/>
        <v>26.1</v>
      </c>
      <c r="AI114" s="48">
        <f t="shared" si="14"/>
        <v>-13.3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7.4</v>
      </c>
      <c r="K115" s="116">
        <v>34.9</v>
      </c>
      <c r="L115" s="116">
        <v>34.6</v>
      </c>
      <c r="M115" s="116">
        <v>34.6</v>
      </c>
      <c r="N115" s="116">
        <v>41.5</v>
      </c>
      <c r="O115" s="116">
        <v>35.799999999999997</v>
      </c>
      <c r="P115" s="116">
        <v>35.799999999999997</v>
      </c>
      <c r="Q115" s="116">
        <v>35.799999999999997</v>
      </c>
      <c r="R115" s="116">
        <v>33.4</v>
      </c>
      <c r="S115" s="116">
        <v>33</v>
      </c>
      <c r="T115" s="116">
        <v>28.7</v>
      </c>
      <c r="U115" s="116">
        <v>29</v>
      </c>
      <c r="V115" s="116">
        <v>28.9</v>
      </c>
      <c r="W115" s="116">
        <v>28.9</v>
      </c>
      <c r="X115" s="116">
        <v>47</v>
      </c>
      <c r="Y115" s="116">
        <v>45.2</v>
      </c>
      <c r="Z115" s="116">
        <v>38.1</v>
      </c>
      <c r="AA115" s="116">
        <v>39.200000000000003</v>
      </c>
      <c r="AB115" s="116">
        <v>40</v>
      </c>
      <c r="AC115" s="116">
        <v>41</v>
      </c>
      <c r="AD115" s="116">
        <v>41</v>
      </c>
      <c r="AE115" s="116">
        <v>0</v>
      </c>
      <c r="AF115" s="116">
        <v>0</v>
      </c>
      <c r="AG115" s="117">
        <v>120</v>
      </c>
      <c r="AH115" s="47">
        <f t="shared" si="13"/>
        <v>47</v>
      </c>
      <c r="AI115" s="48">
        <f t="shared" si="14"/>
        <v>0</v>
      </c>
    </row>
    <row r="116" spans="1:37" x14ac:dyDescent="0.25">
      <c r="A116" s="115" t="s">
        <v>124</v>
      </c>
      <c r="B116" s="116">
        <v>64</v>
      </c>
      <c r="C116" s="116">
        <v>67</v>
      </c>
      <c r="D116" s="116">
        <v>18</v>
      </c>
      <c r="E116" s="116">
        <v>-16.3</v>
      </c>
      <c r="F116" s="116">
        <v>-33</v>
      </c>
      <c r="G116" s="116">
        <v>-78.400000000000006</v>
      </c>
      <c r="H116" s="116">
        <v>-86.1</v>
      </c>
      <c r="I116" s="116">
        <v>-85.1</v>
      </c>
      <c r="J116" s="116">
        <v>-84.4</v>
      </c>
      <c r="K116" s="116">
        <v>-74.3</v>
      </c>
      <c r="L116" s="116">
        <v>-73.599999999999994</v>
      </c>
      <c r="M116" s="116">
        <v>-73.599999999999994</v>
      </c>
      <c r="N116" s="116">
        <v>-75.599999999999994</v>
      </c>
      <c r="O116" s="116">
        <v>-68</v>
      </c>
      <c r="P116" s="116">
        <v>-69</v>
      </c>
      <c r="Q116" s="116">
        <v>-60</v>
      </c>
      <c r="R116" s="116">
        <v>-50.6</v>
      </c>
      <c r="S116" s="116">
        <v>-34.5</v>
      </c>
      <c r="T116" s="116">
        <v>-44.8</v>
      </c>
      <c r="U116" s="116">
        <v>-50.4</v>
      </c>
      <c r="V116" s="116">
        <v>-49.8</v>
      </c>
      <c r="W116" s="116">
        <v>-49.8</v>
      </c>
      <c r="X116" s="116">
        <v>-38.299999999999997</v>
      </c>
      <c r="Y116" s="116">
        <v>-47</v>
      </c>
      <c r="Z116" s="116">
        <v>-38.200000000000003</v>
      </c>
      <c r="AA116" s="116">
        <v>-22.1</v>
      </c>
      <c r="AB116" s="116">
        <v>-36.5</v>
      </c>
      <c r="AC116" s="116">
        <v>-68</v>
      </c>
      <c r="AD116" s="116">
        <v>-65</v>
      </c>
      <c r="AE116" s="116">
        <v>-31</v>
      </c>
      <c r="AF116" s="116">
        <v>6</v>
      </c>
      <c r="AG116" s="117"/>
      <c r="AH116" s="47">
        <f t="shared" si="13"/>
        <v>67</v>
      </c>
      <c r="AI116" s="48">
        <f t="shared" si="14"/>
        <v>-86.1</v>
      </c>
    </row>
    <row r="117" spans="1:37" x14ac:dyDescent="0.25">
      <c r="A117" s="115" t="s">
        <v>125</v>
      </c>
      <c r="B117" s="116">
        <v>11</v>
      </c>
      <c r="C117" s="116">
        <v>5</v>
      </c>
      <c r="D117" s="116">
        <v>4</v>
      </c>
      <c r="E117" s="116">
        <v>3.6</v>
      </c>
      <c r="F117" s="116">
        <v>-4.5</v>
      </c>
      <c r="G117" s="116">
        <v>-2.5</v>
      </c>
      <c r="H117" s="116">
        <v>-9.6</v>
      </c>
      <c r="I117" s="116">
        <v>-11.1</v>
      </c>
      <c r="J117" s="116">
        <v>-19.7</v>
      </c>
      <c r="K117" s="116">
        <v>4.5</v>
      </c>
      <c r="L117" s="116">
        <v>3.3</v>
      </c>
      <c r="M117" s="116">
        <v>3.3</v>
      </c>
      <c r="N117" s="116">
        <v>4.5</v>
      </c>
      <c r="O117" s="116">
        <v>4.5999999999999996</v>
      </c>
      <c r="P117" s="116">
        <v>4.5999999999999996</v>
      </c>
      <c r="Q117" s="116">
        <v>4.5999999999999996</v>
      </c>
      <c r="R117" s="116">
        <v>4.5999999999999996</v>
      </c>
      <c r="S117" s="116">
        <v>5.7</v>
      </c>
      <c r="T117" s="116">
        <v>5.8</v>
      </c>
      <c r="U117" s="116">
        <v>6.6</v>
      </c>
      <c r="V117" s="116">
        <v>7.5</v>
      </c>
      <c r="W117" s="116">
        <v>7.5</v>
      </c>
      <c r="X117" s="116">
        <v>8.5</v>
      </c>
      <c r="Y117" s="116">
        <v>-13.1</v>
      </c>
      <c r="Z117" s="116">
        <v>-11.3</v>
      </c>
      <c r="AA117" s="116">
        <v>-2</v>
      </c>
      <c r="AB117" s="116">
        <v>4.3</v>
      </c>
      <c r="AC117" s="116">
        <v>-2.4</v>
      </c>
      <c r="AD117" s="116">
        <v>1.1000000000000001</v>
      </c>
      <c r="AE117" s="116">
        <v>3</v>
      </c>
      <c r="AF117" s="116">
        <v>5</v>
      </c>
      <c r="AG117" s="118"/>
      <c r="AH117" s="47">
        <f t="shared" si="13"/>
        <v>11</v>
      </c>
      <c r="AI117" s="48">
        <f t="shared" si="14"/>
        <v>-19.7</v>
      </c>
    </row>
    <row r="118" spans="1:37" x14ac:dyDescent="0.25">
      <c r="A118" s="119" t="s">
        <v>126</v>
      </c>
      <c r="B118" s="105">
        <v>38</v>
      </c>
      <c r="C118" s="105">
        <v>40</v>
      </c>
      <c r="D118" s="105">
        <v>43</v>
      </c>
      <c r="E118" s="105">
        <v>44.2</v>
      </c>
      <c r="F118" s="105">
        <v>22.8</v>
      </c>
      <c r="G118" s="105">
        <v>73</v>
      </c>
      <c r="H118" s="105">
        <v>73</v>
      </c>
      <c r="I118" s="105">
        <v>54.5</v>
      </c>
      <c r="J118" s="105">
        <v>52.2</v>
      </c>
      <c r="K118" s="105">
        <v>47.7</v>
      </c>
      <c r="L118" s="105">
        <v>45.6</v>
      </c>
      <c r="M118" s="105">
        <v>45.6</v>
      </c>
      <c r="N118" s="105">
        <v>39.700000000000003</v>
      </c>
      <c r="O118" s="105">
        <v>40.9</v>
      </c>
      <c r="P118" s="105">
        <v>40.9</v>
      </c>
      <c r="Q118" s="105">
        <v>40.9</v>
      </c>
      <c r="R118" s="105">
        <v>40.9</v>
      </c>
      <c r="S118" s="105">
        <v>47.2</v>
      </c>
      <c r="T118" s="105">
        <v>39.6</v>
      </c>
      <c r="U118" s="105">
        <v>58.7</v>
      </c>
      <c r="V118" s="105">
        <v>51.8</v>
      </c>
      <c r="W118" s="105">
        <v>51.8</v>
      </c>
      <c r="X118" s="105">
        <v>-15.9</v>
      </c>
      <c r="Y118" s="105">
        <v>5.8</v>
      </c>
      <c r="Z118" s="105">
        <v>10.9</v>
      </c>
      <c r="AA118" s="105">
        <v>20.399999999999999</v>
      </c>
      <c r="AB118" s="105">
        <v>29.3</v>
      </c>
      <c r="AC118" s="105">
        <v>30</v>
      </c>
      <c r="AD118" s="105">
        <v>31</v>
      </c>
      <c r="AE118" s="105">
        <v>39</v>
      </c>
      <c r="AF118" s="105">
        <v>42</v>
      </c>
      <c r="AG118" s="118"/>
      <c r="AH118" s="47">
        <f t="shared" si="13"/>
        <v>73</v>
      </c>
      <c r="AI118" s="48">
        <f t="shared" si="14"/>
        <v>-15.9</v>
      </c>
    </row>
    <row r="119" spans="1:37" x14ac:dyDescent="0.25">
      <c r="A119" s="120" t="s">
        <v>127</v>
      </c>
      <c r="B119" s="105">
        <v>95</v>
      </c>
      <c r="C119" s="105">
        <v>97</v>
      </c>
      <c r="D119" s="105">
        <v>100</v>
      </c>
      <c r="E119" s="105">
        <v>100.6</v>
      </c>
      <c r="F119" s="105">
        <v>105</v>
      </c>
      <c r="G119" s="105">
        <v>105.2</v>
      </c>
      <c r="H119" s="105">
        <v>106.9</v>
      </c>
      <c r="I119" s="105">
        <v>101.1</v>
      </c>
      <c r="J119" s="105">
        <v>104.7</v>
      </c>
      <c r="K119" s="105">
        <v>96.3</v>
      </c>
      <c r="L119" s="105">
        <v>94.2</v>
      </c>
      <c r="M119" s="105">
        <v>94.2</v>
      </c>
      <c r="N119" s="105">
        <v>97.7</v>
      </c>
      <c r="O119" s="105">
        <v>97.3</v>
      </c>
      <c r="P119" s="105">
        <v>97.3</v>
      </c>
      <c r="Q119" s="105">
        <v>97.3</v>
      </c>
      <c r="R119" s="105">
        <v>97.3</v>
      </c>
      <c r="S119" s="105">
        <v>83.6</v>
      </c>
      <c r="T119" s="105">
        <v>87</v>
      </c>
      <c r="U119" s="105">
        <v>83.7</v>
      </c>
      <c r="V119" s="105">
        <v>84.7</v>
      </c>
      <c r="W119" s="105">
        <v>84.7</v>
      </c>
      <c r="X119" s="105">
        <v>78.3</v>
      </c>
      <c r="Y119" s="105">
        <v>98.9</v>
      </c>
      <c r="Z119" s="105">
        <v>94.9</v>
      </c>
      <c r="AA119" s="105">
        <v>86.6</v>
      </c>
      <c r="AB119" s="105">
        <v>91.6</v>
      </c>
      <c r="AC119" s="105">
        <v>106</v>
      </c>
      <c r="AD119" s="105">
        <v>105.3</v>
      </c>
      <c r="AE119" s="105">
        <v>89</v>
      </c>
      <c r="AF119" s="105">
        <v>76</v>
      </c>
      <c r="AG119" s="118"/>
      <c r="AH119" s="47">
        <f t="shared" si="13"/>
        <v>106.9</v>
      </c>
      <c r="AI119" s="48">
        <f t="shared" si="14"/>
        <v>76</v>
      </c>
    </row>
    <row r="120" spans="1:37" ht="15.75" thickBot="1" x14ac:dyDescent="0.3">
      <c r="A120" s="119" t="s">
        <v>128</v>
      </c>
      <c r="B120" s="105">
        <v>34</v>
      </c>
      <c r="C120" s="105">
        <v>35</v>
      </c>
      <c r="D120" s="105">
        <v>28</v>
      </c>
      <c r="E120" s="105">
        <v>22.1</v>
      </c>
      <c r="F120" s="105">
        <v>26.1</v>
      </c>
      <c r="G120" s="105">
        <v>-25.8</v>
      </c>
      <c r="H120" s="105">
        <v>-30.8</v>
      </c>
      <c r="I120" s="105">
        <v>-28.5</v>
      </c>
      <c r="J120" s="105">
        <v>-27.8</v>
      </c>
      <c r="K120" s="105">
        <v>-21.4</v>
      </c>
      <c r="L120" s="105">
        <v>-15.4</v>
      </c>
      <c r="M120" s="105">
        <v>-15.4</v>
      </c>
      <c r="N120" s="105">
        <v>-2.9</v>
      </c>
      <c r="O120" s="105">
        <v>-7.4</v>
      </c>
      <c r="P120" s="105">
        <v>-7.4</v>
      </c>
      <c r="Q120" s="105">
        <v>-7.4</v>
      </c>
      <c r="R120" s="105">
        <v>-7.4</v>
      </c>
      <c r="S120" s="105">
        <v>1.6</v>
      </c>
      <c r="T120" s="105">
        <v>7.1</v>
      </c>
      <c r="U120" s="105">
        <v>-14.2</v>
      </c>
      <c r="V120" s="105">
        <v>-11.7</v>
      </c>
      <c r="W120" s="105">
        <v>-11.7</v>
      </c>
      <c r="X120" s="105">
        <v>52.2</v>
      </c>
      <c r="Y120" s="105">
        <v>77.5</v>
      </c>
      <c r="Z120" s="105">
        <v>69.2</v>
      </c>
      <c r="AA120" s="105">
        <v>64.400000000000006</v>
      </c>
      <c r="AB120" s="105">
        <v>60</v>
      </c>
      <c r="AC120" s="105">
        <v>39.1</v>
      </c>
      <c r="AD120" s="105">
        <v>45.2</v>
      </c>
      <c r="AE120" s="105">
        <v>31</v>
      </c>
      <c r="AF120" s="105">
        <v>12</v>
      </c>
      <c r="AG120" s="118"/>
      <c r="AH120" s="47">
        <f t="shared" si="13"/>
        <v>77.5</v>
      </c>
      <c r="AI120" s="48">
        <f t="shared" si="14"/>
        <v>-30.8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30">SUM(B122:B226)</f>
        <v>0</v>
      </c>
      <c r="C227" s="136">
        <f t="shared" si="30"/>
        <v>0</v>
      </c>
      <c r="D227" s="136">
        <f t="shared" si="30"/>
        <v>0</v>
      </c>
      <c r="E227" s="136">
        <f t="shared" si="30"/>
        <v>0</v>
      </c>
      <c r="F227" s="136">
        <f t="shared" si="30"/>
        <v>0</v>
      </c>
      <c r="G227" s="136">
        <f t="shared" si="30"/>
        <v>0</v>
      </c>
      <c r="H227" s="136">
        <f t="shared" si="30"/>
        <v>0</v>
      </c>
      <c r="I227" s="136">
        <f t="shared" si="30"/>
        <v>0</v>
      </c>
      <c r="J227" s="136">
        <f t="shared" si="30"/>
        <v>0</v>
      </c>
      <c r="K227" s="136">
        <f t="shared" si="30"/>
        <v>0</v>
      </c>
      <c r="L227" s="136">
        <f t="shared" si="30"/>
        <v>0</v>
      </c>
      <c r="M227" s="136">
        <f t="shared" si="30"/>
        <v>0</v>
      </c>
      <c r="N227" s="136">
        <f t="shared" si="30"/>
        <v>0</v>
      </c>
      <c r="O227" s="136">
        <f t="shared" si="30"/>
        <v>0</v>
      </c>
      <c r="P227" s="136">
        <f t="shared" si="30"/>
        <v>0</v>
      </c>
      <c r="Q227" s="136">
        <f t="shared" si="30"/>
        <v>0</v>
      </c>
      <c r="R227" s="136">
        <f t="shared" si="30"/>
        <v>0</v>
      </c>
      <c r="S227" s="136">
        <f t="shared" si="30"/>
        <v>0</v>
      </c>
      <c r="T227" s="136">
        <f t="shared" si="30"/>
        <v>0</v>
      </c>
      <c r="U227" s="136">
        <f t="shared" si="30"/>
        <v>0</v>
      </c>
      <c r="V227" s="136">
        <f t="shared" si="30"/>
        <v>0</v>
      </c>
      <c r="W227" s="136">
        <f t="shared" si="30"/>
        <v>0</v>
      </c>
      <c r="X227" s="136">
        <f t="shared" si="30"/>
        <v>0</v>
      </c>
      <c r="Y227" s="136">
        <f t="shared" si="30"/>
        <v>0</v>
      </c>
      <c r="Z227" s="136">
        <f t="shared" si="30"/>
        <v>0</v>
      </c>
      <c r="AA227" s="136">
        <f t="shared" si="30"/>
        <v>0</v>
      </c>
      <c r="AB227" s="136">
        <f t="shared" si="30"/>
        <v>0</v>
      </c>
      <c r="AC227" s="136">
        <f t="shared" si="30"/>
        <v>0</v>
      </c>
      <c r="AD227" s="136">
        <f t="shared" si="30"/>
        <v>0</v>
      </c>
      <c r="AE227" s="136">
        <f t="shared" si="30"/>
        <v>0</v>
      </c>
      <c r="AF227" s="137">
        <f t="shared" si="30"/>
        <v>0</v>
      </c>
      <c r="AG227" s="138">
        <f t="shared" si="30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31">AF229</f>
        <v>0</v>
      </c>
      <c r="C229" s="140">
        <v>0.3</v>
      </c>
      <c r="D229" s="140">
        <f t="shared" ref="D229:P234" si="32">C229</f>
        <v>0.3</v>
      </c>
      <c r="E229" s="140">
        <f t="shared" si="32"/>
        <v>0.3</v>
      </c>
      <c r="F229" s="140">
        <f t="shared" si="32"/>
        <v>0.3</v>
      </c>
      <c r="G229" s="140">
        <f t="shared" si="32"/>
        <v>0.3</v>
      </c>
      <c r="H229" s="140">
        <f t="shared" si="32"/>
        <v>0.3</v>
      </c>
      <c r="I229" s="140">
        <f t="shared" si="32"/>
        <v>0.3</v>
      </c>
      <c r="J229" s="140">
        <f t="shared" si="32"/>
        <v>0.3</v>
      </c>
      <c r="K229" s="140">
        <f t="shared" si="32"/>
        <v>0.3</v>
      </c>
      <c r="L229" s="140">
        <f t="shared" si="32"/>
        <v>0.3</v>
      </c>
      <c r="M229" s="140">
        <f t="shared" si="32"/>
        <v>0.3</v>
      </c>
      <c r="N229" s="140">
        <f t="shared" si="32"/>
        <v>0.3</v>
      </c>
      <c r="O229" s="140">
        <f t="shared" si="32"/>
        <v>0.3</v>
      </c>
      <c r="P229" s="140">
        <f t="shared" si="32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31"/>
        <v>0</v>
      </c>
      <c r="C230" s="128">
        <v>0.4</v>
      </c>
      <c r="D230" s="128">
        <f t="shared" si="32"/>
        <v>0.4</v>
      </c>
      <c r="E230" s="128">
        <f t="shared" si="32"/>
        <v>0.4</v>
      </c>
      <c r="F230" s="128">
        <f t="shared" si="32"/>
        <v>0.4</v>
      </c>
      <c r="G230" s="128">
        <f t="shared" si="32"/>
        <v>0.4</v>
      </c>
      <c r="H230" s="128">
        <f t="shared" si="32"/>
        <v>0.4</v>
      </c>
      <c r="I230" s="128">
        <f t="shared" si="32"/>
        <v>0.4</v>
      </c>
      <c r="J230" s="128">
        <f t="shared" si="32"/>
        <v>0.4</v>
      </c>
      <c r="K230" s="128">
        <f t="shared" si="32"/>
        <v>0.4</v>
      </c>
      <c r="L230" s="128">
        <f t="shared" si="32"/>
        <v>0.4</v>
      </c>
      <c r="M230" s="128">
        <f t="shared" si="32"/>
        <v>0.4</v>
      </c>
      <c r="N230" s="128">
        <f t="shared" si="32"/>
        <v>0.4</v>
      </c>
      <c r="O230" s="128">
        <f t="shared" si="32"/>
        <v>0.4</v>
      </c>
      <c r="P230" s="128">
        <f t="shared" si="32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31"/>
        <v>0</v>
      </c>
      <c r="C231" s="128">
        <v>1.5</v>
      </c>
      <c r="D231" s="128">
        <f t="shared" si="32"/>
        <v>1.5</v>
      </c>
      <c r="E231" s="128">
        <f t="shared" si="32"/>
        <v>1.5</v>
      </c>
      <c r="F231" s="128">
        <f t="shared" si="32"/>
        <v>1.5</v>
      </c>
      <c r="G231" s="128">
        <f t="shared" si="32"/>
        <v>1.5</v>
      </c>
      <c r="H231" s="128">
        <f t="shared" si="32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2"/>
        <v>123.21900000000009</v>
      </c>
      <c r="K231" s="128">
        <f t="shared" ca="1" si="32"/>
        <v>123.21900000000009</v>
      </c>
      <c r="L231" s="128">
        <f t="shared" ca="1" si="32"/>
        <v>123.21900000000009</v>
      </c>
      <c r="M231" s="128">
        <f t="shared" ca="1" si="32"/>
        <v>119.19900000000008</v>
      </c>
      <c r="N231" s="128">
        <f t="shared" ca="1" si="32"/>
        <v>119.19900000000008</v>
      </c>
      <c r="O231" s="128">
        <f t="shared" ca="1" si="32"/>
        <v>119.19900000000008</v>
      </c>
      <c r="P231" s="128">
        <f t="shared" ca="1" si="32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31"/>
        <v>0</v>
      </c>
      <c r="C232" s="128">
        <v>0.3</v>
      </c>
      <c r="D232" s="128">
        <f t="shared" si="32"/>
        <v>0.3</v>
      </c>
      <c r="E232" s="128">
        <f t="shared" si="32"/>
        <v>0.3</v>
      </c>
      <c r="F232" s="128">
        <f t="shared" si="32"/>
        <v>0.3</v>
      </c>
      <c r="G232" s="128">
        <f t="shared" si="32"/>
        <v>0.3</v>
      </c>
      <c r="H232" s="128">
        <f t="shared" si="32"/>
        <v>0.3</v>
      </c>
      <c r="I232" s="128">
        <f t="shared" si="32"/>
        <v>0.3</v>
      </c>
      <c r="J232" s="128">
        <f t="shared" si="32"/>
        <v>0.3</v>
      </c>
      <c r="K232" s="128">
        <f t="shared" si="32"/>
        <v>0.3</v>
      </c>
      <c r="L232" s="128">
        <f t="shared" si="32"/>
        <v>0.3</v>
      </c>
      <c r="M232" s="128">
        <f t="shared" si="32"/>
        <v>0.3</v>
      </c>
      <c r="N232" s="128">
        <f t="shared" si="32"/>
        <v>0.3</v>
      </c>
      <c r="O232" s="128">
        <f t="shared" si="32"/>
        <v>0.3</v>
      </c>
      <c r="P232" s="128">
        <f t="shared" si="32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31"/>
        <v>0</v>
      </c>
      <c r="C233" s="128">
        <v>0.4</v>
      </c>
      <c r="D233" s="128">
        <f t="shared" si="32"/>
        <v>0.4</v>
      </c>
      <c r="E233" s="128">
        <f t="shared" si="32"/>
        <v>0.4</v>
      </c>
      <c r="F233" s="128">
        <f t="shared" si="32"/>
        <v>0.4</v>
      </c>
      <c r="G233" s="128">
        <f t="shared" si="32"/>
        <v>0.4</v>
      </c>
      <c r="H233" s="128">
        <f t="shared" si="32"/>
        <v>0.4</v>
      </c>
      <c r="I233" s="128">
        <f t="shared" si="32"/>
        <v>0.4</v>
      </c>
      <c r="J233" s="128">
        <f t="shared" si="32"/>
        <v>0.4</v>
      </c>
      <c r="K233" s="128">
        <f t="shared" si="32"/>
        <v>0.4</v>
      </c>
      <c r="L233" s="128">
        <f t="shared" si="32"/>
        <v>0.4</v>
      </c>
      <c r="M233" s="128">
        <f t="shared" si="32"/>
        <v>0.4</v>
      </c>
      <c r="N233" s="128">
        <f t="shared" si="32"/>
        <v>0.4</v>
      </c>
      <c r="O233" s="128">
        <f t="shared" si="32"/>
        <v>0.4</v>
      </c>
      <c r="P233" s="128">
        <f t="shared" si="32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31"/>
        <v>0</v>
      </c>
      <c r="C234" s="132">
        <v>0.64</v>
      </c>
      <c r="D234" s="132">
        <f t="shared" si="32"/>
        <v>0.64</v>
      </c>
      <c r="E234" s="132">
        <f t="shared" si="32"/>
        <v>0.64</v>
      </c>
      <c r="F234" s="132">
        <f t="shared" si="32"/>
        <v>0.64</v>
      </c>
      <c r="G234" s="132">
        <f t="shared" si="32"/>
        <v>0.64</v>
      </c>
      <c r="H234" s="132">
        <f t="shared" si="32"/>
        <v>0.64</v>
      </c>
      <c r="I234" s="132">
        <f t="shared" si="32"/>
        <v>0.64</v>
      </c>
      <c r="J234" s="132">
        <f t="shared" si="32"/>
        <v>0.64</v>
      </c>
      <c r="K234" s="132">
        <f t="shared" si="32"/>
        <v>0.64</v>
      </c>
      <c r="L234" s="132">
        <f t="shared" si="32"/>
        <v>0.64</v>
      </c>
      <c r="M234" s="132">
        <f t="shared" si="32"/>
        <v>0.64</v>
      </c>
      <c r="N234" s="132">
        <f t="shared" si="32"/>
        <v>0.64</v>
      </c>
      <c r="O234" s="132">
        <f t="shared" si="32"/>
        <v>0.64</v>
      </c>
      <c r="P234" s="132">
        <f t="shared" si="32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3">SUM(B229:B234)</f>
        <v>0</v>
      </c>
      <c r="C235" s="136">
        <f t="shared" si="33"/>
        <v>3.54</v>
      </c>
      <c r="D235" s="136">
        <f t="shared" si="33"/>
        <v>3.54</v>
      </c>
      <c r="E235" s="136">
        <f t="shared" si="33"/>
        <v>3.54</v>
      </c>
      <c r="F235" s="136">
        <f t="shared" si="33"/>
        <v>3.54</v>
      </c>
      <c r="G235" s="136">
        <f t="shared" si="33"/>
        <v>3.54</v>
      </c>
      <c r="H235" s="136">
        <f t="shared" si="33"/>
        <v>3.54</v>
      </c>
      <c r="I235" s="136">
        <f t="shared" ca="1" si="33"/>
        <v>121.23900000000009</v>
      </c>
      <c r="J235" s="136">
        <f t="shared" ca="1" si="33"/>
        <v>121.23900000000009</v>
      </c>
      <c r="K235" s="136">
        <f t="shared" ca="1" si="33"/>
        <v>121.23900000000009</v>
      </c>
      <c r="L235" s="136">
        <f t="shared" ca="1" si="33"/>
        <v>125.2590000000001</v>
      </c>
      <c r="M235" s="136">
        <f t="shared" ca="1" si="33"/>
        <v>121.23900000000009</v>
      </c>
      <c r="N235" s="136">
        <f t="shared" ca="1" si="33"/>
        <v>121.23900000000009</v>
      </c>
      <c r="O235" s="136">
        <f t="shared" ca="1" si="33"/>
        <v>121.23900000000009</v>
      </c>
      <c r="P235" s="136">
        <f t="shared" ca="1" si="33"/>
        <v>121.23900000000009</v>
      </c>
      <c r="Q235" s="136">
        <f t="shared" si="33"/>
        <v>0</v>
      </c>
      <c r="R235" s="136">
        <f t="shared" si="33"/>
        <v>0</v>
      </c>
      <c r="S235" s="136">
        <f t="shared" si="33"/>
        <v>0</v>
      </c>
      <c r="T235" s="136">
        <f t="shared" si="33"/>
        <v>0</v>
      </c>
      <c r="U235" s="136">
        <f t="shared" si="33"/>
        <v>0</v>
      </c>
      <c r="V235" s="136">
        <f t="shared" si="33"/>
        <v>0</v>
      </c>
      <c r="W235" s="136">
        <f t="shared" si="33"/>
        <v>0</v>
      </c>
      <c r="X235" s="136">
        <f t="shared" si="33"/>
        <v>0</v>
      </c>
      <c r="Y235" s="136">
        <f t="shared" si="33"/>
        <v>0</v>
      </c>
      <c r="Z235" s="136">
        <f t="shared" si="33"/>
        <v>0</v>
      </c>
      <c r="AA235" s="136">
        <f t="shared" si="33"/>
        <v>0</v>
      </c>
      <c r="AB235" s="136">
        <f t="shared" si="33"/>
        <v>0</v>
      </c>
      <c r="AC235" s="136">
        <f t="shared" si="33"/>
        <v>0</v>
      </c>
      <c r="AD235" s="136">
        <f t="shared" si="33"/>
        <v>0</v>
      </c>
      <c r="AE235" s="136">
        <f t="shared" si="33"/>
        <v>0</v>
      </c>
      <c r="AF235" s="136">
        <f t="shared" si="33"/>
        <v>0</v>
      </c>
      <c r="AG235" s="145">
        <f t="shared" si="33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1561.9999999999995</v>
      </c>
      <c r="C244" s="161">
        <f>INDEX(G9:N9,1,MATCH(MAX(G91:N91),G91:N91,0))</f>
        <v>0.20833333333333301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4">B91</f>
        <v>2027.9999999999998</v>
      </c>
      <c r="U249" s="170">
        <f t="shared" si="34"/>
        <v>1998</v>
      </c>
      <c r="V249" s="170">
        <f t="shared" si="34"/>
        <v>1992</v>
      </c>
      <c r="W249" s="170">
        <f t="shared" si="34"/>
        <v>1993.9</v>
      </c>
      <c r="X249" s="170">
        <f t="shared" si="34"/>
        <v>1671.6999999999998</v>
      </c>
      <c r="Y249" s="170">
        <f t="shared" si="34"/>
        <v>1561.9999999999995</v>
      </c>
      <c r="Z249" s="170">
        <f t="shared" si="34"/>
        <v>1554.8999999999996</v>
      </c>
      <c r="AA249" s="170">
        <f t="shared" si="34"/>
        <v>1557.3999999999996</v>
      </c>
      <c r="AB249" s="170">
        <f t="shared" si="34"/>
        <v>1551.8999999999996</v>
      </c>
      <c r="AC249" s="170">
        <f t="shared" si="34"/>
        <v>1504.1</v>
      </c>
      <c r="AD249" s="170">
        <f t="shared" si="34"/>
        <v>1516.3</v>
      </c>
      <c r="AE249" s="170">
        <f t="shared" si="34"/>
        <v>1527.2</v>
      </c>
      <c r="AF249" s="170">
        <f t="shared" si="34"/>
        <v>1524.1999999999998</v>
      </c>
      <c r="AG249" s="170">
        <f t="shared" si="34"/>
        <v>1541.7999999999997</v>
      </c>
      <c r="AH249" s="170">
        <f t="shared" si="34"/>
        <v>1549.8000000000002</v>
      </c>
      <c r="AI249" s="170">
        <f t="shared" si="34"/>
        <v>1568</v>
      </c>
      <c r="AJ249" s="170">
        <f t="shared" si="34"/>
        <v>1536.5</v>
      </c>
      <c r="AK249" s="170">
        <f t="shared" si="34"/>
        <v>1550.5</v>
      </c>
      <c r="AL249" s="170">
        <f t="shared" si="34"/>
        <v>1545.8000000000002</v>
      </c>
      <c r="AM249" s="170">
        <f t="shared" si="34"/>
        <v>1539.1000000000001</v>
      </c>
      <c r="AN249" s="170">
        <f t="shared" si="34"/>
        <v>1532.8999999999999</v>
      </c>
      <c r="AO249" s="170">
        <f t="shared" si="34"/>
        <v>1532.8999999999999</v>
      </c>
      <c r="AP249" s="170">
        <f t="shared" si="34"/>
        <v>1471.7999999999997</v>
      </c>
      <c r="AQ249" s="170">
        <f t="shared" si="34"/>
        <v>1518.3999999999999</v>
      </c>
      <c r="AR249" s="170">
        <f t="shared" si="34"/>
        <v>1589.1999999999998</v>
      </c>
      <c r="AS249" s="170">
        <f t="shared" si="34"/>
        <v>1613.3999999999996</v>
      </c>
      <c r="AT249" s="170">
        <f t="shared" si="34"/>
        <v>1592</v>
      </c>
      <c r="AU249" s="170">
        <f t="shared" si="34"/>
        <v>1571.6999999999998</v>
      </c>
      <c r="AV249" s="170">
        <f t="shared" si="34"/>
        <v>1541.9999999999998</v>
      </c>
      <c r="AW249" s="170">
        <f t="shared" si="34"/>
        <v>1792.8999999999999</v>
      </c>
      <c r="AX249" s="170">
        <f t="shared" si="34"/>
        <v>1872.8999999999999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5">C234</f>
        <v>0.64</v>
      </c>
      <c r="C270" s="173">
        <f t="shared" si="35"/>
        <v>0.64</v>
      </c>
      <c r="D270" s="173">
        <f t="shared" si="35"/>
        <v>0.64</v>
      </c>
      <c r="E270" s="173">
        <f t="shared" si="35"/>
        <v>0.64</v>
      </c>
      <c r="F270" s="173">
        <f t="shared" si="35"/>
        <v>0.64</v>
      </c>
      <c r="G270" s="173">
        <f t="shared" si="35"/>
        <v>0.64</v>
      </c>
      <c r="H270" s="173">
        <f t="shared" si="35"/>
        <v>0.64</v>
      </c>
      <c r="I270" s="173">
        <f t="shared" si="35"/>
        <v>0.64</v>
      </c>
      <c r="J270" s="173">
        <f t="shared" si="35"/>
        <v>0.64</v>
      </c>
      <c r="K270" s="173">
        <f t="shared" si="35"/>
        <v>0.64</v>
      </c>
      <c r="L270" s="173">
        <f t="shared" si="35"/>
        <v>0.64</v>
      </c>
      <c r="M270" s="173">
        <f t="shared" si="35"/>
        <v>0.64</v>
      </c>
      <c r="N270" s="173">
        <f t="shared" si="35"/>
        <v>0.64</v>
      </c>
      <c r="O270" s="173">
        <f t="shared" si="35"/>
        <v>0.64</v>
      </c>
      <c r="P270" s="173">
        <f t="shared" si="35"/>
        <v>0</v>
      </c>
      <c r="Q270" s="173">
        <f t="shared" si="35"/>
        <v>0</v>
      </c>
      <c r="R270" s="173">
        <f t="shared" si="35"/>
        <v>0</v>
      </c>
      <c r="S270" s="173">
        <f t="shared" si="35"/>
        <v>0</v>
      </c>
      <c r="T270" s="173">
        <f t="shared" si="35"/>
        <v>0</v>
      </c>
      <c r="U270" s="173">
        <f t="shared" si="35"/>
        <v>0</v>
      </c>
      <c r="V270" s="173">
        <f t="shared" si="35"/>
        <v>0</v>
      </c>
      <c r="W270" s="173">
        <f t="shared" si="35"/>
        <v>0</v>
      </c>
      <c r="X270" s="173">
        <f t="shared" si="35"/>
        <v>0</v>
      </c>
      <c r="Y270" s="173">
        <f t="shared" si="35"/>
        <v>0</v>
      </c>
      <c r="Z270" s="173">
        <f t="shared" si="35"/>
        <v>0</v>
      </c>
      <c r="AA270" s="173">
        <f t="shared" si="35"/>
        <v>0</v>
      </c>
      <c r="AB270" s="173">
        <f t="shared" si="35"/>
        <v>0</v>
      </c>
      <c r="AC270" s="173">
        <f t="shared" si="35"/>
        <v>0</v>
      </c>
      <c r="AD270" s="173">
        <f t="shared" si="35"/>
        <v>0</v>
      </c>
      <c r="AE270" s="173">
        <f t="shared" si="35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6">IF(B238&lt;100,"",B238-520)</f>
        <v/>
      </c>
      <c r="C271" s="174" t="str">
        <f t="shared" si="36"/>
        <v/>
      </c>
      <c r="D271" s="174" t="str">
        <f t="shared" si="36"/>
        <v/>
      </c>
      <c r="E271" s="174" t="str">
        <f t="shared" si="36"/>
        <v/>
      </c>
      <c r="F271" s="174" t="str">
        <f t="shared" si="36"/>
        <v/>
      </c>
      <c r="G271" s="174" t="str">
        <f t="shared" si="36"/>
        <v/>
      </c>
      <c r="H271" s="174" t="str">
        <f t="shared" si="36"/>
        <v/>
      </c>
      <c r="I271" s="174" t="str">
        <f t="shared" si="36"/>
        <v/>
      </c>
      <c r="J271" s="174" t="str">
        <f t="shared" si="36"/>
        <v/>
      </c>
      <c r="K271" s="174" t="str">
        <f t="shared" si="36"/>
        <v/>
      </c>
      <c r="L271" s="174" t="str">
        <f t="shared" si="36"/>
        <v/>
      </c>
      <c r="M271" s="174" t="str">
        <f t="shared" si="36"/>
        <v/>
      </c>
      <c r="N271" s="174" t="str">
        <f t="shared" si="36"/>
        <v/>
      </c>
      <c r="O271" s="174" t="str">
        <f t="shared" si="36"/>
        <v/>
      </c>
      <c r="P271" s="174" t="str">
        <f t="shared" si="36"/>
        <v/>
      </c>
      <c r="Q271" s="174" t="str">
        <f t="shared" si="36"/>
        <v/>
      </c>
      <c r="R271" s="174" t="str">
        <f t="shared" si="36"/>
        <v/>
      </c>
      <c r="S271" s="174" t="str">
        <f t="shared" si="36"/>
        <v/>
      </c>
      <c r="T271" s="174" t="str">
        <f t="shared" si="36"/>
        <v/>
      </c>
      <c r="U271" s="174" t="str">
        <f t="shared" si="36"/>
        <v/>
      </c>
      <c r="V271" s="174" t="str">
        <f t="shared" si="36"/>
        <v/>
      </c>
      <c r="W271" s="174" t="str">
        <f t="shared" si="36"/>
        <v/>
      </c>
      <c r="X271" s="174" t="str">
        <f t="shared" si="36"/>
        <v/>
      </c>
      <c r="Y271" s="174" t="str">
        <f t="shared" si="36"/>
        <v/>
      </c>
      <c r="Z271" s="174" t="str">
        <f t="shared" si="36"/>
        <v/>
      </c>
      <c r="AA271" s="174" t="str">
        <f t="shared" si="36"/>
        <v/>
      </c>
      <c r="AB271" s="174" t="str">
        <f t="shared" si="36"/>
        <v/>
      </c>
      <c r="AC271" s="174" t="str">
        <f t="shared" si="36"/>
        <v/>
      </c>
      <c r="AD271" s="174" t="str">
        <f t="shared" si="36"/>
        <v/>
      </c>
      <c r="AE271" s="174" t="str">
        <f t="shared" si="36"/>
        <v/>
      </c>
      <c r="AF271" s="174" t="str">
        <f t="shared" si="36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7">IF(B239&lt;100,"",B239-620)</f>
        <v/>
      </c>
      <c r="C272" s="174" t="str">
        <f t="shared" si="37"/>
        <v/>
      </c>
      <c r="D272" s="174" t="str">
        <f t="shared" si="37"/>
        <v/>
      </c>
      <c r="E272" s="174" t="str">
        <f t="shared" si="37"/>
        <v/>
      </c>
      <c r="F272" s="174" t="str">
        <f t="shared" si="37"/>
        <v/>
      </c>
      <c r="G272" s="174" t="str">
        <f t="shared" si="37"/>
        <v/>
      </c>
      <c r="H272" s="174" t="str">
        <f t="shared" si="37"/>
        <v/>
      </c>
      <c r="I272" s="174" t="str">
        <f t="shared" si="37"/>
        <v/>
      </c>
      <c r="J272" s="174" t="str">
        <f t="shared" si="37"/>
        <v/>
      </c>
      <c r="K272" s="174" t="str">
        <f t="shared" si="37"/>
        <v/>
      </c>
      <c r="L272" s="174" t="str">
        <f t="shared" si="37"/>
        <v/>
      </c>
      <c r="M272" s="174" t="str">
        <f t="shared" si="37"/>
        <v/>
      </c>
      <c r="N272" s="174" t="str">
        <f t="shared" si="37"/>
        <v/>
      </c>
      <c r="O272" s="174" t="str">
        <f t="shared" si="37"/>
        <v/>
      </c>
      <c r="P272" s="174" t="str">
        <f t="shared" si="37"/>
        <v/>
      </c>
      <c r="Q272" s="174" t="str">
        <f t="shared" si="37"/>
        <v/>
      </c>
      <c r="R272" s="174" t="str">
        <f t="shared" si="37"/>
        <v/>
      </c>
      <c r="S272" s="174" t="str">
        <f t="shared" si="37"/>
        <v/>
      </c>
      <c r="T272" s="174" t="str">
        <f t="shared" si="37"/>
        <v/>
      </c>
      <c r="U272" s="174" t="str">
        <f t="shared" si="37"/>
        <v/>
      </c>
      <c r="V272" s="174" t="str">
        <f t="shared" si="37"/>
        <v/>
      </c>
      <c r="W272" s="174" t="str">
        <f t="shared" si="37"/>
        <v/>
      </c>
      <c r="X272" s="174" t="str">
        <f t="shared" si="37"/>
        <v/>
      </c>
      <c r="Y272" s="174" t="str">
        <f t="shared" si="37"/>
        <v/>
      </c>
      <c r="Z272" s="174" t="str">
        <f t="shared" si="37"/>
        <v/>
      </c>
      <c r="AA272" s="174" t="str">
        <f t="shared" si="37"/>
        <v/>
      </c>
      <c r="AB272" s="174" t="str">
        <f t="shared" si="37"/>
        <v/>
      </c>
      <c r="AC272" s="174" t="str">
        <f t="shared" si="37"/>
        <v/>
      </c>
      <c r="AD272" s="174" t="str">
        <f t="shared" si="37"/>
        <v/>
      </c>
      <c r="AE272" s="174" t="str">
        <f t="shared" si="37"/>
        <v/>
      </c>
      <c r="AF272" s="174" t="str">
        <f t="shared" si="37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8">IF(B240&lt;100,"",B240-330)</f>
        <v/>
      </c>
      <c r="C273" s="174" t="str">
        <f t="shared" si="38"/>
        <v/>
      </c>
      <c r="D273" s="174" t="str">
        <f t="shared" si="38"/>
        <v/>
      </c>
      <c r="E273" s="174" t="str">
        <f t="shared" si="38"/>
        <v/>
      </c>
      <c r="F273" s="174" t="str">
        <f t="shared" si="38"/>
        <v/>
      </c>
      <c r="G273" s="174" t="str">
        <f t="shared" si="38"/>
        <v/>
      </c>
      <c r="H273" s="174" t="str">
        <f t="shared" si="38"/>
        <v/>
      </c>
      <c r="I273" s="174" t="str">
        <f t="shared" si="38"/>
        <v/>
      </c>
      <c r="J273" s="174" t="str">
        <f t="shared" si="38"/>
        <v/>
      </c>
      <c r="K273" s="174" t="str">
        <f t="shared" si="38"/>
        <v/>
      </c>
      <c r="L273" s="174" t="str">
        <f t="shared" si="38"/>
        <v/>
      </c>
      <c r="M273" s="174" t="str">
        <f t="shared" si="38"/>
        <v/>
      </c>
      <c r="N273" s="174" t="str">
        <f t="shared" si="38"/>
        <v/>
      </c>
      <c r="O273" s="174" t="str">
        <f t="shared" si="38"/>
        <v/>
      </c>
      <c r="P273" s="174" t="str">
        <f t="shared" si="38"/>
        <v/>
      </c>
      <c r="Q273" s="174" t="str">
        <f t="shared" si="38"/>
        <v/>
      </c>
      <c r="R273" s="174" t="str">
        <f t="shared" si="38"/>
        <v/>
      </c>
      <c r="S273" s="174" t="str">
        <f t="shared" si="38"/>
        <v/>
      </c>
      <c r="T273" s="174" t="str">
        <f t="shared" si="38"/>
        <v/>
      </c>
      <c r="U273" s="174" t="str">
        <f t="shared" si="38"/>
        <v/>
      </c>
      <c r="V273" s="174" t="str">
        <f t="shared" si="38"/>
        <v/>
      </c>
      <c r="W273" s="174" t="str">
        <f t="shared" si="38"/>
        <v/>
      </c>
      <c r="X273" s="174" t="str">
        <f t="shared" si="38"/>
        <v/>
      </c>
      <c r="Y273" s="174" t="str">
        <f t="shared" si="38"/>
        <v/>
      </c>
      <c r="Z273" s="174" t="str">
        <f t="shared" si="38"/>
        <v/>
      </c>
      <c r="AA273" s="174" t="str">
        <f t="shared" si="38"/>
        <v/>
      </c>
      <c r="AB273" s="174" t="str">
        <f t="shared" si="38"/>
        <v/>
      </c>
      <c r="AC273" s="174" t="str">
        <f t="shared" si="38"/>
        <v/>
      </c>
      <c r="AD273" s="174" t="str">
        <f t="shared" si="38"/>
        <v/>
      </c>
      <c r="AE273" s="174" t="str">
        <f t="shared" si="38"/>
        <v/>
      </c>
      <c r="AF273" s="174" t="str">
        <f t="shared" si="38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9">IF(B241&lt;100,"",B241-1500)</f>
        <v/>
      </c>
      <c r="C274" s="174" t="str">
        <f t="shared" si="39"/>
        <v/>
      </c>
      <c r="D274" s="174" t="str">
        <f t="shared" si="39"/>
        <v/>
      </c>
      <c r="E274" s="174" t="str">
        <f t="shared" si="39"/>
        <v/>
      </c>
      <c r="F274" s="174" t="str">
        <f t="shared" si="39"/>
        <v/>
      </c>
      <c r="G274" s="174" t="str">
        <f t="shared" si="39"/>
        <v/>
      </c>
      <c r="H274" s="174" t="str">
        <f t="shared" si="39"/>
        <v/>
      </c>
      <c r="I274" s="174" t="str">
        <f t="shared" si="39"/>
        <v/>
      </c>
      <c r="J274" s="174" t="str">
        <f t="shared" si="39"/>
        <v/>
      </c>
      <c r="K274" s="174" t="str">
        <f t="shared" si="39"/>
        <v/>
      </c>
      <c r="L274" s="174" t="str">
        <f t="shared" si="39"/>
        <v/>
      </c>
      <c r="M274" s="174" t="str">
        <f t="shared" si="39"/>
        <v/>
      </c>
      <c r="N274" s="174" t="str">
        <f t="shared" si="39"/>
        <v/>
      </c>
      <c r="O274" s="174" t="str">
        <f t="shared" si="39"/>
        <v/>
      </c>
      <c r="P274" s="174" t="str">
        <f t="shared" si="39"/>
        <v/>
      </c>
      <c r="Q274" s="174" t="str">
        <f t="shared" si="39"/>
        <v/>
      </c>
      <c r="R274" s="174" t="str">
        <f t="shared" si="39"/>
        <v/>
      </c>
      <c r="S274" s="174" t="str">
        <f t="shared" si="39"/>
        <v/>
      </c>
      <c r="T274" s="174" t="str">
        <f t="shared" si="39"/>
        <v/>
      </c>
      <c r="U274" s="174" t="str">
        <f t="shared" si="39"/>
        <v/>
      </c>
      <c r="V274" s="174" t="str">
        <f t="shared" si="39"/>
        <v/>
      </c>
      <c r="W274" s="174" t="str">
        <f t="shared" si="39"/>
        <v/>
      </c>
      <c r="X274" s="174" t="str">
        <f t="shared" si="39"/>
        <v/>
      </c>
      <c r="Y274" s="174" t="str">
        <f t="shared" si="39"/>
        <v/>
      </c>
      <c r="Z274" s="174" t="str">
        <f t="shared" si="39"/>
        <v/>
      </c>
      <c r="AA274" s="174" t="str">
        <f t="shared" si="39"/>
        <v/>
      </c>
      <c r="AB274" s="174" t="str">
        <f t="shared" si="39"/>
        <v/>
      </c>
      <c r="AC274" s="174" t="str">
        <f t="shared" si="39"/>
        <v/>
      </c>
      <c r="AD274" s="174" t="str">
        <f t="shared" si="39"/>
        <v/>
      </c>
      <c r="AE274" s="174" t="str">
        <f t="shared" si="39"/>
        <v/>
      </c>
      <c r="AF274" s="174" t="str">
        <f t="shared" si="39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837" priority="64">
      <formula>$AH11=0</formula>
    </cfRule>
  </conditionalFormatting>
  <conditionalFormatting sqref="B8 M8 S8 AB8">
    <cfRule type="expression" dxfId="3836" priority="115">
      <formula>AND(C$9&gt;=14/24,C$9&lt;20/24)</formula>
    </cfRule>
    <cfRule type="expression" dxfId="3835" priority="116">
      <formula>AND(C$9&gt;=8/24,C$9&lt;14/24)</formula>
    </cfRule>
    <cfRule type="expression" dxfId="3834" priority="117">
      <formula>C$9&lt;8/24</formula>
    </cfRule>
  </conditionalFormatting>
  <conditionalFormatting sqref="B54:C54">
    <cfRule type="expression" dxfId="3833" priority="38">
      <formula>B$9&gt;=20/24</formula>
    </cfRule>
    <cfRule type="expression" dxfId="3832" priority="39">
      <formula>AND(B$9&gt;=14/24,B$9&lt;20/24)</formula>
    </cfRule>
    <cfRule type="expression" dxfId="3831" priority="40">
      <formula>AND(B$9&gt;=8/24,B$9&lt;14/24)</formula>
    </cfRule>
    <cfRule type="expression" dxfId="3830" priority="41">
      <formula>B$9&lt;8/24</formula>
    </cfRule>
  </conditionalFormatting>
  <conditionalFormatting sqref="B54:C66 D55:E66 F60:J66 K61:Y66">
    <cfRule type="expression" dxfId="3829" priority="33">
      <formula>B54&gt;$AG54</formula>
    </cfRule>
  </conditionalFormatting>
  <conditionalFormatting sqref="B55:E59">
    <cfRule type="expression" dxfId="3828" priority="60">
      <formula>B$9&gt;=20/24</formula>
    </cfRule>
    <cfRule type="expression" dxfId="3827" priority="61">
      <formula>AND(B$9&gt;=14/24,B$9&lt;20/24)</formula>
    </cfRule>
    <cfRule type="expression" dxfId="3826" priority="62">
      <formula>AND(B$9&gt;=8/24,B$9&lt;14/24)</formula>
    </cfRule>
    <cfRule type="expression" dxfId="3825" priority="63">
      <formula>B$9&lt;8/24</formula>
    </cfRule>
  </conditionalFormatting>
  <conditionalFormatting sqref="B60:Y60">
    <cfRule type="expression" dxfId="3824" priority="51">
      <formula>B$9&gt;=20/24</formula>
    </cfRule>
    <cfRule type="expression" dxfId="3823" priority="52">
      <formula>AND(B$9&gt;=14/24,B$9&lt;20/24)</formula>
    </cfRule>
    <cfRule type="expression" dxfId="3822" priority="53">
      <formula>AND(B$9&gt;=8/24,B$9&lt;14/24)</formula>
    </cfRule>
    <cfRule type="expression" dxfId="3821" priority="54">
      <formula>B$9&lt;8/24</formula>
    </cfRule>
  </conditionalFormatting>
  <conditionalFormatting sqref="B61:AF66">
    <cfRule type="expression" dxfId="3820" priority="34">
      <formula>B$9&gt;=20/24</formula>
    </cfRule>
    <cfRule type="expression" dxfId="3819" priority="35">
      <formula>AND(B$9&gt;=14/24,B$9&lt;20/24)</formula>
    </cfRule>
    <cfRule type="expression" dxfId="3818" priority="36">
      <formula>AND(B$9&gt;=8/24,B$9&lt;14/24)</formula>
    </cfRule>
    <cfRule type="expression" dxfId="3817" priority="37">
      <formula>B$9&lt;8/24</formula>
    </cfRule>
  </conditionalFormatting>
  <conditionalFormatting sqref="B9:AF45">
    <cfRule type="expression" dxfId="3816" priority="23">
      <formula>B$9&gt;=20/24</formula>
    </cfRule>
    <cfRule type="expression" dxfId="3815" priority="24">
      <formula>AND(B$9&gt;=14/24,B$9&lt;20/24)</formula>
    </cfRule>
    <cfRule type="expression" dxfId="3814" priority="25">
      <formula>AND(B$9&gt;=8/24,B$9&lt;14/24)</formula>
    </cfRule>
    <cfRule type="expression" dxfId="3813" priority="26">
      <formula>B$9&lt;8/24</formula>
    </cfRule>
  </conditionalFormatting>
  <conditionalFormatting sqref="B11:AF46">
    <cfRule type="expression" dxfId="3812" priority="22">
      <formula>B11&gt;$AG11</formula>
    </cfRule>
  </conditionalFormatting>
  <conditionalFormatting sqref="B46:AF46">
    <cfRule type="expression" dxfId="3811" priority="18">
      <formula>B$9&gt;=20/24</formula>
    </cfRule>
    <cfRule type="expression" dxfId="3810" priority="19">
      <formula>AND(B$9&gt;=14/24,B$9&lt;20/24)</formula>
    </cfRule>
    <cfRule type="expression" dxfId="3809" priority="20">
      <formula>AND(B$9&gt;=8/24,B$9&lt;14/24)</formula>
    </cfRule>
    <cfRule type="expression" dxfId="3808" priority="21">
      <formula>B$9&lt;8/24</formula>
    </cfRule>
  </conditionalFormatting>
  <conditionalFormatting sqref="B47:AF47">
    <cfRule type="expression" dxfId="3807" priority="32">
      <formula>B47&gt;$AG47</formula>
    </cfRule>
  </conditionalFormatting>
  <conditionalFormatting sqref="B47:AF49">
    <cfRule type="expression" dxfId="3806" priority="28">
      <formula>B$9&gt;=20/24</formula>
    </cfRule>
    <cfRule type="expression" dxfId="3805" priority="29">
      <formula>AND(B$9&gt;=14/24,B$9&lt;20/24)</formula>
    </cfRule>
    <cfRule type="expression" dxfId="3804" priority="30">
      <formula>AND(B$9&gt;=8/24,B$9&lt;14/24)</formula>
    </cfRule>
    <cfRule type="expression" dxfId="3803" priority="31">
      <formula>B$9&lt;8/24</formula>
    </cfRule>
  </conditionalFormatting>
  <conditionalFormatting sqref="B48:AF53">
    <cfRule type="expression" dxfId="3802" priority="27">
      <formula>B48&gt;$AG48</formula>
    </cfRule>
  </conditionalFormatting>
  <conditionalFormatting sqref="B51:AF53">
    <cfRule type="expression" dxfId="3801" priority="47">
      <formula>B$9&gt;=20/24</formula>
    </cfRule>
    <cfRule type="expression" dxfId="3800" priority="48">
      <formula>AND(B$9&gt;=14/24,B$9&lt;20/24)</formula>
    </cfRule>
    <cfRule type="expression" dxfId="3799" priority="49">
      <formula>AND(B$9&gt;=8/24,B$9&lt;14/24)</formula>
    </cfRule>
    <cfRule type="expression" dxfId="3798" priority="50">
      <formula>B$9&lt;8/24</formula>
    </cfRule>
  </conditionalFormatting>
  <conditionalFormatting sqref="B69:AF71">
    <cfRule type="expression" dxfId="3797" priority="55">
      <formula>B69&gt;$AG69</formula>
    </cfRule>
    <cfRule type="expression" dxfId="3796" priority="56">
      <formula>B$9&gt;=20/24</formula>
    </cfRule>
    <cfRule type="expression" dxfId="3795" priority="57">
      <formula>AND(B$9&gt;=14/24,B$9&lt;20/24)</formula>
    </cfRule>
    <cfRule type="expression" dxfId="3794" priority="58">
      <formula>AND(B$9&gt;=8/24,B$9&lt;14/24)</formula>
    </cfRule>
    <cfRule type="expression" dxfId="3793" priority="59">
      <formula>B$9&lt;8/24</formula>
    </cfRule>
  </conditionalFormatting>
  <conditionalFormatting sqref="B73:AF91">
    <cfRule type="expression" dxfId="3792" priority="1">
      <formula>B$9&gt;=20/24</formula>
    </cfRule>
    <cfRule type="expression" dxfId="3791" priority="2">
      <formula>AND(B$9&gt;=14/24,B$9&lt;20/24)</formula>
    </cfRule>
    <cfRule type="expression" dxfId="3790" priority="3">
      <formula>AND(B$9&gt;=8/24,B$9&lt;14/24)</formula>
    </cfRule>
    <cfRule type="expression" dxfId="3789" priority="4">
      <formula>B$9&lt;8/24</formula>
    </cfRule>
  </conditionalFormatting>
  <conditionalFormatting sqref="B111:AF120">
    <cfRule type="expression" dxfId="3788" priority="14">
      <formula>B$9&gt;=20/24</formula>
    </cfRule>
    <cfRule type="expression" dxfId="3787" priority="15">
      <formula>AND(B$9&gt;=14/24,B$9&lt;20/24)</formula>
    </cfRule>
    <cfRule type="expression" dxfId="3786" priority="16">
      <formula>AND(B$9&gt;=8/24,B$9&lt;14/24)</formula>
    </cfRule>
    <cfRule type="expression" dxfId="3785" priority="17">
      <formula>B$9&lt;8/24</formula>
    </cfRule>
  </conditionalFormatting>
  <conditionalFormatting sqref="B227:AF227 D229:AF230 B229:B235 D231:H231 J231:AF231 D232:AF235 U248:AF248">
    <cfRule type="expression" dxfId="3784" priority="108">
      <formula>B$9&gt;=20/24</formula>
    </cfRule>
    <cfRule type="expression" dxfId="3783" priority="109">
      <formula>AND(B$9&gt;=14/24,B$9&lt;20/24)</formula>
    </cfRule>
    <cfRule type="expression" dxfId="3782" priority="110">
      <formula>AND(B$9&gt;=8/24,B$9&lt;14/24)</formula>
    </cfRule>
    <cfRule type="expression" dxfId="3781" priority="111">
      <formula>B$9&lt;8/24</formula>
    </cfRule>
  </conditionalFormatting>
  <conditionalFormatting sqref="B67:AG68 B72:AG72">
    <cfRule type="expression" dxfId="3780" priority="42">
      <formula>B67&gt;$AG67</formula>
    </cfRule>
  </conditionalFormatting>
  <conditionalFormatting sqref="B72:AG72 B93:AF109">
    <cfRule type="expression" dxfId="3779" priority="43">
      <formula>B$9&gt;=20/24</formula>
    </cfRule>
    <cfRule type="expression" dxfId="3778" priority="44">
      <formula>AND(B$9&gt;=14/24,B$9&lt;20/24)</formula>
    </cfRule>
    <cfRule type="expression" dxfId="3777" priority="45">
      <formula>AND(B$9&gt;=8/24,B$9&lt;14/24)</formula>
    </cfRule>
    <cfRule type="expression" dxfId="3776" priority="46">
      <formula>B$9&lt;8/24</formula>
    </cfRule>
  </conditionalFormatting>
  <conditionalFormatting sqref="F55:L59 K60:L66 M55:AF66">
    <cfRule type="expression" dxfId="3775" priority="5">
      <formula>F55&gt;$AG55</formula>
    </cfRule>
  </conditionalFormatting>
  <conditionalFormatting sqref="D54:AG54">
    <cfRule type="expression" dxfId="3774" priority="76">
      <formula>D54&gt;$AG54</formula>
    </cfRule>
    <cfRule type="expression" dxfId="3773" priority="77">
      <formula>D$9&gt;=20/24</formula>
    </cfRule>
    <cfRule type="expression" dxfId="3772" priority="78">
      <formula>AND(D$9&gt;=14/24,D$9&lt;20/24)</formula>
    </cfRule>
    <cfRule type="expression" dxfId="3771" priority="79">
      <formula>AND(D$9&gt;=8/24,D$9&lt;14/24)</formula>
    </cfRule>
    <cfRule type="expression" dxfId="3770" priority="80">
      <formula>D$9&lt;8/24</formula>
    </cfRule>
  </conditionalFormatting>
  <conditionalFormatting sqref="F55:M57">
    <cfRule type="expression" dxfId="3769" priority="89">
      <formula>F$9&gt;=20/24</formula>
    </cfRule>
    <cfRule type="expression" dxfId="3768" priority="90">
      <formula>AND(F$9&gt;=14/24,F$9&lt;20/24)</formula>
    </cfRule>
    <cfRule type="expression" dxfId="3767" priority="91">
      <formula>AND(F$9&gt;=8/24,F$9&lt;14/24)</formula>
    </cfRule>
    <cfRule type="expression" dxfId="3766" priority="92">
      <formula>F$9&lt;8/24</formula>
    </cfRule>
  </conditionalFormatting>
  <conditionalFormatting sqref="N55:S59 T55 T58:Y59">
    <cfRule type="expression" dxfId="3765" priority="93">
      <formula>N$9&gt;=20/24</formula>
    </cfRule>
    <cfRule type="expression" dxfId="3764" priority="94">
      <formula>AND(N$9&gt;=14/24,N$9&lt;20/24)</formula>
    </cfRule>
    <cfRule type="expression" dxfId="3763" priority="95">
      <formula>AND(N$9&gt;=8/24,N$9&lt;14/24)</formula>
    </cfRule>
    <cfRule type="expression" dxfId="3762" priority="96">
      <formula>N$9&lt;8/24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761" priority="114">
      <formula>C$9&gt;=20/24</formula>
    </cfRule>
  </conditionalFormatting>
  <conditionalFormatting sqref="S8">
    <cfRule type="expression" dxfId="3760" priority="101">
      <formula>U$9&gt;=20/24</formula>
    </cfRule>
    <cfRule type="expression" dxfId="3759" priority="102">
      <formula>AND(U$9&gt;=14/24,U$9&lt;20/24)</formula>
    </cfRule>
    <cfRule type="expression" dxfId="3758" priority="103">
      <formula>AND(U$9&gt;=8/24,U$9&lt;14/24)</formula>
    </cfRule>
    <cfRule type="expression" dxfId="3757" priority="104">
      <formula>U$9&lt;8/24</formula>
    </cfRule>
  </conditionalFormatting>
  <conditionalFormatting sqref="S55:AF60">
    <cfRule type="expression" dxfId="3756" priority="10">
      <formula>S$9&gt;=20/24</formula>
    </cfRule>
    <cfRule type="expression" dxfId="3755" priority="11">
      <formula>AND(S$9&gt;=14/24,S$9&lt;20/24)</formula>
    </cfRule>
    <cfRule type="expression" dxfId="3754" priority="12">
      <formula>AND(S$9&gt;=8/24,S$9&lt;14/24)</formula>
    </cfRule>
    <cfRule type="expression" dxfId="3753" priority="13">
      <formula>S$9&lt;8/24</formula>
    </cfRule>
  </conditionalFormatting>
  <conditionalFormatting sqref="T248">
    <cfRule type="expression" dxfId="3752" priority="126">
      <formula>AX$9&gt;=20/24</formula>
    </cfRule>
    <cfRule type="expression" dxfId="3751" priority="127">
      <formula>AND(AX$9&gt;=14/24,AX$9&lt;20/24)</formula>
    </cfRule>
    <cfRule type="expression" dxfId="3750" priority="128">
      <formula>AND(AX$9&gt;=8/24,AX$9&lt;14/24)</formula>
    </cfRule>
    <cfRule type="expression" dxfId="3749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748" priority="97">
      <formula>AD$9&gt;=20/24</formula>
    </cfRule>
    <cfRule type="expression" dxfId="3747" priority="98">
      <formula>AND(AD$9&gt;=14/24,AD$9&lt;20/24)</formula>
    </cfRule>
    <cfRule type="expression" dxfId="3746" priority="99">
      <formula>AND(AD$9&gt;=8/24,AD$9&lt;14/24)</formula>
    </cfRule>
    <cfRule type="expression" dxfId="3745" priority="100">
      <formula>AD$9&lt;8/24</formula>
    </cfRule>
  </conditionalFormatting>
  <conditionalFormatting sqref="AE61:AF66">
    <cfRule type="expression" dxfId="3744" priority="6">
      <formula>AE$9&gt;=20/24</formula>
    </cfRule>
    <cfRule type="expression" dxfId="3743" priority="7">
      <formula>AND(AE$9&gt;=14/24,AE$9&lt;20/24)</formula>
    </cfRule>
    <cfRule type="expression" dxfId="3742" priority="8">
      <formula>AND(AE$9&gt;=8/24,AE$9&lt;14/24)</formula>
    </cfRule>
    <cfRule type="expression" dxfId="3741" priority="9">
      <formula>AE$9&lt;8/24</formula>
    </cfRule>
  </conditionalFormatting>
  <conditionalFormatting sqref="AG50">
    <cfRule type="expression" dxfId="3740" priority="84">
      <formula>AG50&gt;$AG50</formula>
    </cfRule>
  </conditionalFormatting>
  <conditionalFormatting sqref="AG89">
    <cfRule type="expression" dxfId="3739" priority="85">
      <formula>AG$9&gt;=20/24</formula>
    </cfRule>
    <cfRule type="expression" dxfId="3738" priority="86">
      <formula>AND(AG$9&gt;=14/24,AG$9&lt;20/24)</formula>
    </cfRule>
    <cfRule type="expression" dxfId="3737" priority="87">
      <formula>AND(AG$9&gt;=8/24,AG$9&lt;14/24)</formula>
    </cfRule>
    <cfRule type="expression" dxfId="3736" priority="88">
      <formula>AG$9&lt;8/24</formula>
    </cfRule>
  </conditionalFormatting>
  <conditionalFormatting sqref="AG248">
    <cfRule type="expression" dxfId="3735" priority="118">
      <formula>B$9&gt;=20/24</formula>
    </cfRule>
    <cfRule type="expression" dxfId="3734" priority="119">
      <formula>AND(B$9&gt;=14/24,B$9&lt;20/24)</formula>
    </cfRule>
    <cfRule type="expression" dxfId="3733" priority="120">
      <formula>AND(B$9&gt;=8/24,B$9&lt;14/24)</formula>
    </cfRule>
    <cfRule type="expression" dxfId="3732" priority="121">
      <formula>B$9&lt;8/24</formula>
    </cfRule>
  </conditionalFormatting>
  <conditionalFormatting sqref="AH248:AX248">
    <cfRule type="expression" dxfId="3731" priority="122">
      <formula>AG$9&gt;=20/24</formula>
    </cfRule>
    <cfRule type="expression" dxfId="3730" priority="123">
      <formula>AND(AG$9&gt;=14/24,AG$9&lt;20/24)</formula>
    </cfRule>
    <cfRule type="expression" dxfId="3729" priority="124">
      <formula>AND(AG$9&gt;=8/24,AG$9&lt;14/24)</formula>
    </cfRule>
    <cfRule type="expression" dxfId="3728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727" priority="131">
      <formula>AJ$9&gt;=20/24</formula>
    </cfRule>
    <cfRule type="expression" dxfId="3726" priority="132">
      <formula>AND(AJ$9&gt;=14/24,AJ$9&lt;20/24)</formula>
    </cfRule>
    <cfRule type="expression" dxfId="3725" priority="133">
      <formula>AND(AJ$9&gt;=8/24,AJ$9&lt;14/24)</formula>
    </cfRule>
    <cfRule type="expression" dxfId="3724" priority="134">
      <formula>AJ$9&lt;8/24</formula>
    </cfRule>
  </conditionalFormatting>
  <conditionalFormatting sqref="AL80:AN80 AL86:AN86">
    <cfRule type="expression" dxfId="3723" priority="72">
      <formula>AL$9&gt;=20/24</formula>
    </cfRule>
    <cfRule type="expression" dxfId="3722" priority="73">
      <formula>AND(AL$9&gt;=14/24,AL$9&lt;20/24)</formula>
    </cfRule>
    <cfRule type="expression" dxfId="3721" priority="74">
      <formula>AND(AL$9&gt;=8/24,AL$9&lt;14/24)</formula>
    </cfRule>
    <cfRule type="expression" dxfId="3720" priority="75">
      <formula>AL$9&lt;8/24</formula>
    </cfRule>
  </conditionalFormatting>
  <conditionalFormatting sqref="AN81:AN84">
    <cfRule type="expression" dxfId="3719" priority="68">
      <formula>AN$9&gt;=20/24</formula>
    </cfRule>
    <cfRule type="expression" dxfId="3718" priority="69">
      <formula>AND(AN$9&gt;=14/24,AN$9&lt;20/24)</formula>
    </cfRule>
    <cfRule type="expression" dxfId="3717" priority="70">
      <formula>AND(AN$9&gt;=8/24,AN$9&lt;14/24)</formula>
    </cfRule>
    <cfRule type="expression" dxfId="3716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3CEF6-DB82-41F5-871A-35E15F859F0D}">
  <sheetPr codeName="Sheet24"/>
  <dimension ref="A1:CJ281"/>
  <sheetViews>
    <sheetView workbookViewId="0">
      <pane xSplit="1" ySplit="10" topLeftCell="L114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2080/05/2</v>
      </c>
      <c r="C4" s="201"/>
      <c r="D4" s="201"/>
      <c r="E4" s="202" t="str">
        <f ca="1">"2080/"&amp;"05/"&amp;INT(MID(CELL("filename",G6),FIND("]",CELL("filename",G6))+1,200))</f>
        <v>2080/05/2</v>
      </c>
      <c r="F4" s="202"/>
      <c r="G4" s="202"/>
      <c r="H4" s="202" t="str">
        <f ca="1">TEXT(E4,"dddd")</f>
        <v>Thursday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1998MW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1927.8999999999996</v>
      </c>
      <c r="C7" s="35">
        <f t="shared" si="1"/>
        <v>1950.3</v>
      </c>
      <c r="D7" s="35">
        <f t="shared" si="1"/>
        <v>1926.8</v>
      </c>
      <c r="E7" s="35">
        <f t="shared" si="1"/>
        <v>1917.3</v>
      </c>
      <c r="F7" s="35">
        <f t="shared" si="1"/>
        <v>1917.3</v>
      </c>
      <c r="G7" s="35">
        <f t="shared" si="1"/>
        <v>1917.3</v>
      </c>
      <c r="H7" s="35">
        <f t="shared" si="1"/>
        <v>1918.3</v>
      </c>
      <c r="I7" s="35">
        <f t="shared" si="1"/>
        <v>1917.3</v>
      </c>
      <c r="J7" s="35">
        <f t="shared" si="1"/>
        <v>1940.3</v>
      </c>
      <c r="K7" s="35">
        <f t="shared" si="1"/>
        <v>1949.3</v>
      </c>
      <c r="L7" s="35">
        <f t="shared" si="1"/>
        <v>1953.3</v>
      </c>
      <c r="M7" s="35">
        <f t="shared" si="1"/>
        <v>1726.1</v>
      </c>
      <c r="N7" s="35">
        <f>N91</f>
        <v>1997.6</v>
      </c>
      <c r="O7" s="35">
        <f t="shared" si="1"/>
        <v>2072.3999999999996</v>
      </c>
      <c r="P7" s="35">
        <f t="shared" si="1"/>
        <v>2100.6</v>
      </c>
      <c r="Q7" s="35">
        <f t="shared" si="1"/>
        <v>2073.9</v>
      </c>
      <c r="R7" s="35">
        <f t="shared" si="1"/>
        <v>2057.9</v>
      </c>
      <c r="S7" s="35">
        <f t="shared" si="1"/>
        <v>2029.1999999999998</v>
      </c>
      <c r="T7" s="35">
        <f t="shared" si="1"/>
        <v>2020.9999999999998</v>
      </c>
      <c r="U7" s="35">
        <f t="shared" si="1"/>
        <v>2037.1</v>
      </c>
      <c r="V7" s="35">
        <f t="shared" si="1"/>
        <v>2039.6999999999998</v>
      </c>
      <c r="W7" s="35">
        <f t="shared" si="1"/>
        <v>2034.5</v>
      </c>
      <c r="X7" s="35">
        <f t="shared" si="1"/>
        <v>2044.2999999999997</v>
      </c>
      <c r="Y7" s="35">
        <f t="shared" si="1"/>
        <v>2044.2999999999997</v>
      </c>
      <c r="Z7" s="35">
        <f t="shared" si="1"/>
        <v>2097.3000000000002</v>
      </c>
      <c r="AA7" s="35">
        <f t="shared" si="1"/>
        <v>2047.8999999999999</v>
      </c>
      <c r="AB7" s="35">
        <f t="shared" si="1"/>
        <v>2078.1</v>
      </c>
      <c r="AC7" s="35">
        <f t="shared" si="1"/>
        <v>2082.6</v>
      </c>
      <c r="AD7" s="35">
        <f t="shared" si="1"/>
        <v>2054.8999999999996</v>
      </c>
      <c r="AE7" s="35">
        <f t="shared" si="1"/>
        <v>2031.7999999999997</v>
      </c>
      <c r="AF7" s="35">
        <f t="shared" si="1"/>
        <v>3.54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89</v>
      </c>
      <c r="C11" s="45">
        <v>89</v>
      </c>
      <c r="D11" s="45">
        <v>89</v>
      </c>
      <c r="E11" s="45">
        <v>89</v>
      </c>
      <c r="F11" s="45">
        <v>89</v>
      </c>
      <c r="G11" s="45">
        <v>89</v>
      </c>
      <c r="H11" s="45">
        <v>89</v>
      </c>
      <c r="I11" s="45">
        <v>89</v>
      </c>
      <c r="J11" s="45">
        <v>89</v>
      </c>
      <c r="K11" s="45">
        <v>89</v>
      </c>
      <c r="L11" s="45">
        <v>89</v>
      </c>
      <c r="M11" s="45">
        <v>89</v>
      </c>
      <c r="N11" s="45">
        <v>89</v>
      </c>
      <c r="O11" s="45">
        <v>90.1</v>
      </c>
      <c r="P11" s="45">
        <v>90.1</v>
      </c>
      <c r="Q11" s="45">
        <v>90.1</v>
      </c>
      <c r="R11" s="45">
        <v>90.1</v>
      </c>
      <c r="S11" s="45">
        <v>90.1</v>
      </c>
      <c r="T11" s="45">
        <v>90.1</v>
      </c>
      <c r="U11" s="45">
        <v>90.1</v>
      </c>
      <c r="V11" s="45">
        <v>90.1</v>
      </c>
      <c r="W11" s="45">
        <v>90.1</v>
      </c>
      <c r="X11" s="45">
        <v>90.1</v>
      </c>
      <c r="Y11" s="45">
        <v>90.1</v>
      </c>
      <c r="Z11" s="45">
        <v>90.1</v>
      </c>
      <c r="AA11" s="45">
        <v>90.1</v>
      </c>
      <c r="AB11" s="45">
        <v>90.1</v>
      </c>
      <c r="AC11" s="45">
        <v>90.1</v>
      </c>
      <c r="AD11" s="45">
        <v>90.1</v>
      </c>
      <c r="AE11" s="45">
        <v>90.1</v>
      </c>
      <c r="AF11" s="45" t="s">
        <v>268</v>
      </c>
      <c r="AG11" s="46">
        <v>86</v>
      </c>
      <c r="AH11" s="47">
        <f t="shared" ref="AH11:AH76" si="2">MAX(B11:AF11)</f>
        <v>90.1</v>
      </c>
      <c r="AI11" s="48">
        <f t="shared" ref="AI11:AI76" si="3">MIN(B11:AF11)</f>
        <v>89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9</v>
      </c>
      <c r="L12" s="45">
        <v>9</v>
      </c>
      <c r="M12" s="45">
        <v>9</v>
      </c>
      <c r="N12" s="45">
        <v>9</v>
      </c>
      <c r="O12" s="45">
        <v>9</v>
      </c>
      <c r="P12" s="45">
        <v>9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 t="s">
        <v>269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28.4</v>
      </c>
      <c r="C13" s="45">
        <v>28.4</v>
      </c>
      <c r="D13" s="45">
        <v>28.4</v>
      </c>
      <c r="E13" s="45">
        <v>28.4</v>
      </c>
      <c r="F13" s="45">
        <v>28.4</v>
      </c>
      <c r="G13" s="45">
        <v>28.4</v>
      </c>
      <c r="H13" s="45">
        <v>28.4</v>
      </c>
      <c r="I13" s="45">
        <v>28.4</v>
      </c>
      <c r="J13" s="45">
        <v>28.4</v>
      </c>
      <c r="K13" s="45">
        <v>28.4</v>
      </c>
      <c r="L13" s="45">
        <v>28.4</v>
      </c>
      <c r="M13" s="45">
        <v>28.4</v>
      </c>
      <c r="N13" s="45">
        <v>28.4</v>
      </c>
      <c r="O13" s="45">
        <v>28.9</v>
      </c>
      <c r="P13" s="45">
        <v>28.9</v>
      </c>
      <c r="Q13" s="45">
        <v>28.9</v>
      </c>
      <c r="R13" s="45">
        <v>28.9</v>
      </c>
      <c r="S13" s="45">
        <v>28.9</v>
      </c>
      <c r="T13" s="45">
        <v>28.9</v>
      </c>
      <c r="U13" s="45">
        <v>28.9</v>
      </c>
      <c r="V13" s="45">
        <v>28.9</v>
      </c>
      <c r="W13" s="45">
        <v>28.9</v>
      </c>
      <c r="X13" s="45">
        <v>28.9</v>
      </c>
      <c r="Y13" s="45">
        <v>28.9</v>
      </c>
      <c r="Z13" s="45">
        <v>28.9</v>
      </c>
      <c r="AA13" s="45">
        <v>28.9</v>
      </c>
      <c r="AB13" s="45">
        <v>28.9</v>
      </c>
      <c r="AC13" s="45">
        <v>28.9</v>
      </c>
      <c r="AD13" s="45">
        <v>28.9</v>
      </c>
      <c r="AE13" s="45">
        <v>28.9</v>
      </c>
      <c r="AF13" s="45" t="s">
        <v>268</v>
      </c>
      <c r="AG13" s="46">
        <v>52.4</v>
      </c>
      <c r="AH13" s="47">
        <f t="shared" si="2"/>
        <v>28.9</v>
      </c>
      <c r="AI13" s="48">
        <f t="shared" si="3"/>
        <v>28.4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50.8</v>
      </c>
      <c r="C14" s="58">
        <v>50.8</v>
      </c>
      <c r="D14" s="58">
        <v>50.8</v>
      </c>
      <c r="E14" s="58">
        <v>50.8</v>
      </c>
      <c r="F14" s="58">
        <v>50.8</v>
      </c>
      <c r="G14" s="58">
        <v>50.8</v>
      </c>
      <c r="H14" s="58">
        <v>50.8</v>
      </c>
      <c r="I14" s="58">
        <v>50.8</v>
      </c>
      <c r="J14" s="58">
        <v>50.8</v>
      </c>
      <c r="K14" s="58">
        <v>50.8</v>
      </c>
      <c r="L14" s="58">
        <v>50.8</v>
      </c>
      <c r="M14" s="58">
        <v>50.8</v>
      </c>
      <c r="N14" s="58">
        <v>50.8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45">
        <v>50.4</v>
      </c>
      <c r="AA14" s="45">
        <v>50.4</v>
      </c>
      <c r="AB14" s="45">
        <v>50.4</v>
      </c>
      <c r="AC14" s="45">
        <v>50.4</v>
      </c>
      <c r="AD14" s="45">
        <v>50.4</v>
      </c>
      <c r="AE14" s="45">
        <v>50.4</v>
      </c>
      <c r="AF14" s="45" t="s">
        <v>266</v>
      </c>
      <c r="AG14" s="49">
        <v>50</v>
      </c>
      <c r="AH14" s="47">
        <f t="shared" si="2"/>
        <v>50.8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46.7</v>
      </c>
      <c r="E15" s="45">
        <v>36</v>
      </c>
      <c r="F15" s="45">
        <v>36</v>
      </c>
      <c r="G15" s="45">
        <v>36</v>
      </c>
      <c r="H15" s="45">
        <v>36</v>
      </c>
      <c r="I15" s="45">
        <v>36</v>
      </c>
      <c r="J15" s="45">
        <v>36</v>
      </c>
      <c r="K15" s="45">
        <v>36</v>
      </c>
      <c r="L15" s="45">
        <v>36</v>
      </c>
      <c r="M15" s="45">
        <v>36</v>
      </c>
      <c r="N15" s="45">
        <v>46</v>
      </c>
      <c r="O15" s="45">
        <v>46.5</v>
      </c>
      <c r="P15" s="45">
        <v>46.5</v>
      </c>
      <c r="Q15" s="45">
        <v>46.5</v>
      </c>
      <c r="R15" s="45">
        <v>46.5</v>
      </c>
      <c r="S15" s="45">
        <v>46.5</v>
      </c>
      <c r="T15" s="45">
        <v>46.5</v>
      </c>
      <c r="U15" s="45">
        <v>46.5</v>
      </c>
      <c r="V15" s="45">
        <v>46.5</v>
      </c>
      <c r="W15" s="45">
        <v>46.5</v>
      </c>
      <c r="X15" s="45">
        <v>46.5</v>
      </c>
      <c r="Y15" s="45">
        <v>46.5</v>
      </c>
      <c r="Z15" s="45">
        <v>46.5</v>
      </c>
      <c r="AA15" s="45">
        <v>46.5</v>
      </c>
      <c r="AB15" s="45">
        <v>46.5</v>
      </c>
      <c r="AC15" s="45">
        <v>46.5</v>
      </c>
      <c r="AD15" s="45">
        <v>46.5</v>
      </c>
      <c r="AE15" s="45">
        <v>46.5</v>
      </c>
      <c r="AF15" s="45" t="s">
        <v>270</v>
      </c>
      <c r="AG15" s="49">
        <v>45</v>
      </c>
      <c r="AH15" s="47">
        <f t="shared" si="2"/>
        <v>46.7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0</v>
      </c>
      <c r="N16" s="45">
        <v>26</v>
      </c>
      <c r="O16" s="45">
        <v>26</v>
      </c>
      <c r="P16" s="45">
        <v>26</v>
      </c>
      <c r="Q16" s="45">
        <v>20</v>
      </c>
      <c r="R16" s="45">
        <v>20</v>
      </c>
      <c r="S16" s="45">
        <v>20</v>
      </c>
      <c r="T16" s="45">
        <v>20</v>
      </c>
      <c r="U16" s="45">
        <v>29.5</v>
      </c>
      <c r="V16" s="45">
        <v>29.5</v>
      </c>
      <c r="W16" s="45">
        <v>29.5</v>
      </c>
      <c r="X16" s="45">
        <v>29.5</v>
      </c>
      <c r="Y16" s="45">
        <v>29.5</v>
      </c>
      <c r="Z16" s="45">
        <v>29.5</v>
      </c>
      <c r="AA16" s="45">
        <v>29.5</v>
      </c>
      <c r="AB16" s="45">
        <v>44</v>
      </c>
      <c r="AC16" s="45">
        <v>44</v>
      </c>
      <c r="AD16" s="45">
        <v>44</v>
      </c>
      <c r="AE16" s="45">
        <v>44</v>
      </c>
      <c r="AF16" s="45" t="s">
        <v>271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31</v>
      </c>
      <c r="C17" s="45">
        <v>31</v>
      </c>
      <c r="D17" s="45">
        <v>31</v>
      </c>
      <c r="E17" s="45">
        <v>31</v>
      </c>
      <c r="F17" s="45">
        <v>31</v>
      </c>
      <c r="G17" s="45">
        <v>31</v>
      </c>
      <c r="H17" s="45">
        <v>31</v>
      </c>
      <c r="I17" s="45">
        <v>31</v>
      </c>
      <c r="J17" s="45">
        <v>31</v>
      </c>
      <c r="K17" s="45">
        <v>31</v>
      </c>
      <c r="L17" s="45">
        <v>31</v>
      </c>
      <c r="M17" s="45">
        <v>0</v>
      </c>
      <c r="N17" s="45">
        <v>22</v>
      </c>
      <c r="O17" s="45">
        <v>18</v>
      </c>
      <c r="P17" s="45">
        <v>18</v>
      </c>
      <c r="Q17" s="45">
        <v>18</v>
      </c>
      <c r="R17" s="45">
        <v>18</v>
      </c>
      <c r="S17" s="45">
        <v>18</v>
      </c>
      <c r="T17" s="45">
        <v>18</v>
      </c>
      <c r="U17" s="45">
        <v>24</v>
      </c>
      <c r="V17" s="45">
        <v>24</v>
      </c>
      <c r="W17" s="45">
        <v>31</v>
      </c>
      <c r="X17" s="45">
        <v>31</v>
      </c>
      <c r="Y17" s="45">
        <v>31</v>
      </c>
      <c r="Z17" s="45">
        <v>31</v>
      </c>
      <c r="AA17" s="45">
        <v>31</v>
      </c>
      <c r="AB17" s="45">
        <v>31</v>
      </c>
      <c r="AC17" s="45">
        <v>31</v>
      </c>
      <c r="AD17" s="45">
        <v>31</v>
      </c>
      <c r="AE17" s="45">
        <v>31</v>
      </c>
      <c r="AF17" s="45"/>
      <c r="AG17" s="49">
        <v>42</v>
      </c>
      <c r="AH17" s="47">
        <f t="shared" si="2"/>
        <v>31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38.5</v>
      </c>
      <c r="L18" s="45">
        <v>38.5</v>
      </c>
      <c r="M18" s="45">
        <v>38.5</v>
      </c>
      <c r="N18" s="45">
        <v>38.5</v>
      </c>
      <c r="O18" s="45">
        <v>38.5</v>
      </c>
      <c r="P18" s="45">
        <v>38.5</v>
      </c>
      <c r="Q18" s="45">
        <v>38.5</v>
      </c>
      <c r="R18" s="45">
        <v>38.5</v>
      </c>
      <c r="S18" s="45">
        <v>38.5</v>
      </c>
      <c r="T18" s="45">
        <v>38.5</v>
      </c>
      <c r="U18" s="45">
        <v>38.5</v>
      </c>
      <c r="V18" s="45">
        <v>38.5</v>
      </c>
      <c r="W18" s="45">
        <v>38.5</v>
      </c>
      <c r="X18" s="45">
        <v>38.5</v>
      </c>
      <c r="Y18" s="45">
        <v>38.5</v>
      </c>
      <c r="Z18" s="45">
        <v>38.5</v>
      </c>
      <c r="AA18" s="45">
        <v>38.5</v>
      </c>
      <c r="AB18" s="45">
        <v>38.5</v>
      </c>
      <c r="AC18" s="45">
        <v>38.5</v>
      </c>
      <c r="AD18" s="45">
        <v>38.5</v>
      </c>
      <c r="AE18" s="45">
        <v>38.5</v>
      </c>
      <c r="AF18" s="45" t="s">
        <v>282</v>
      </c>
      <c r="AG18" s="49">
        <v>38.46</v>
      </c>
      <c r="AH18" s="47">
        <f t="shared" si="2"/>
        <v>38.5</v>
      </c>
      <c r="AI18" s="48">
        <f t="shared" si="3"/>
        <v>38.5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23</v>
      </c>
      <c r="C19" s="45">
        <v>23</v>
      </c>
      <c r="D19" s="45">
        <v>23</v>
      </c>
      <c r="E19" s="45">
        <v>23</v>
      </c>
      <c r="F19" s="45">
        <v>23</v>
      </c>
      <c r="G19" s="45">
        <v>23</v>
      </c>
      <c r="H19" s="45">
        <v>23</v>
      </c>
      <c r="I19" s="45">
        <v>23</v>
      </c>
      <c r="J19" s="45">
        <v>23</v>
      </c>
      <c r="K19" s="45">
        <v>23</v>
      </c>
      <c r="L19" s="45">
        <v>23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 t="s">
        <v>267</v>
      </c>
      <c r="AG19" s="49">
        <v>36</v>
      </c>
      <c r="AH19" s="47">
        <f t="shared" si="2"/>
        <v>24</v>
      </c>
      <c r="AI19" s="48">
        <f t="shared" si="3"/>
        <v>23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20.399999999999999</v>
      </c>
      <c r="O20" s="45">
        <v>15.4</v>
      </c>
      <c r="P20" s="45">
        <v>20</v>
      </c>
      <c r="Q20" s="45">
        <v>20</v>
      </c>
      <c r="R20" s="45">
        <v>20</v>
      </c>
      <c r="S20" s="45">
        <v>20</v>
      </c>
      <c r="T20" s="45">
        <v>15.6</v>
      </c>
      <c r="U20" s="45">
        <v>15.6</v>
      </c>
      <c r="V20" s="45">
        <v>20.2</v>
      </c>
      <c r="W20" s="45">
        <v>20.2</v>
      </c>
      <c r="X20" s="45">
        <v>20.2</v>
      </c>
      <c r="Y20" s="45">
        <v>20.2</v>
      </c>
      <c r="Z20" s="45">
        <v>29.8</v>
      </c>
      <c r="AA20" s="45">
        <v>15</v>
      </c>
      <c r="AB20" s="45">
        <v>15</v>
      </c>
      <c r="AC20" s="45">
        <v>15</v>
      </c>
      <c r="AD20" s="45">
        <v>10.6</v>
      </c>
      <c r="AE20" s="45">
        <v>10.6</v>
      </c>
      <c r="AF20" s="45" t="s">
        <v>268</v>
      </c>
      <c r="AG20" s="51">
        <v>30</v>
      </c>
      <c r="AH20" s="47">
        <f t="shared" si="2"/>
        <v>29.8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20</v>
      </c>
      <c r="N21" s="45">
        <v>20</v>
      </c>
      <c r="O21" s="45">
        <v>33</v>
      </c>
      <c r="P21" s="45">
        <v>33</v>
      </c>
      <c r="Q21" s="45">
        <v>33</v>
      </c>
      <c r="R21" s="45">
        <v>33</v>
      </c>
      <c r="S21" s="45">
        <v>33</v>
      </c>
      <c r="T21" s="45">
        <v>33</v>
      </c>
      <c r="U21" s="45">
        <v>33</v>
      </c>
      <c r="V21" s="45">
        <v>33</v>
      </c>
      <c r="W21" s="45">
        <v>33</v>
      </c>
      <c r="X21" s="45">
        <v>33</v>
      </c>
      <c r="Y21" s="45">
        <v>33</v>
      </c>
      <c r="Z21" s="45">
        <v>33</v>
      </c>
      <c r="AA21" s="45">
        <v>33</v>
      </c>
      <c r="AB21" s="45">
        <v>33</v>
      </c>
      <c r="AC21" s="45">
        <v>33</v>
      </c>
      <c r="AD21" s="45">
        <v>20.7</v>
      </c>
      <c r="AE21" s="45">
        <v>20.7</v>
      </c>
      <c r="AF21" s="45" t="s">
        <v>266</v>
      </c>
      <c r="AG21" s="49">
        <v>24.2</v>
      </c>
      <c r="AH21" s="47">
        <f t="shared" si="2"/>
        <v>33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20</v>
      </c>
      <c r="N22" s="45">
        <v>20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 t="s">
        <v>281</v>
      </c>
      <c r="AG22" s="49">
        <v>28</v>
      </c>
      <c r="AH22" s="47">
        <f t="shared" si="2"/>
        <v>28.6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4.5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13.5</v>
      </c>
      <c r="O23" s="45">
        <v>13.5</v>
      </c>
      <c r="P23" s="45">
        <v>13.5</v>
      </c>
      <c r="Q23" s="45">
        <v>13.5</v>
      </c>
      <c r="R23" s="45">
        <v>13.5</v>
      </c>
      <c r="S23" s="45">
        <v>13.5</v>
      </c>
      <c r="T23" s="45">
        <v>13.5</v>
      </c>
      <c r="U23" s="45">
        <v>13.5</v>
      </c>
      <c r="V23" s="45">
        <v>13.5</v>
      </c>
      <c r="W23" s="45">
        <v>13.5</v>
      </c>
      <c r="X23" s="45">
        <v>13.5</v>
      </c>
      <c r="Y23" s="45">
        <v>13.5</v>
      </c>
      <c r="Z23" s="45">
        <v>27</v>
      </c>
      <c r="AA23" s="45">
        <v>13.5</v>
      </c>
      <c r="AB23" s="45">
        <v>10</v>
      </c>
      <c r="AC23" s="45">
        <v>13.5</v>
      </c>
      <c r="AD23" s="45">
        <v>9</v>
      </c>
      <c r="AE23" s="45">
        <v>9</v>
      </c>
      <c r="AF23" s="45" t="s">
        <v>265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</v>
      </c>
      <c r="C24" s="45">
        <v>26</v>
      </c>
      <c r="D24" s="45">
        <v>26</v>
      </c>
      <c r="E24" s="45">
        <v>26</v>
      </c>
      <c r="F24" s="45">
        <v>26</v>
      </c>
      <c r="G24" s="45">
        <v>26</v>
      </c>
      <c r="H24" s="45">
        <v>26</v>
      </c>
      <c r="I24" s="45">
        <v>26</v>
      </c>
      <c r="J24" s="45">
        <v>26</v>
      </c>
      <c r="K24" s="45">
        <v>26</v>
      </c>
      <c r="L24" s="45">
        <v>26</v>
      </c>
      <c r="M24" s="45">
        <v>10</v>
      </c>
      <c r="N24" s="45">
        <v>10</v>
      </c>
      <c r="O24" s="45">
        <v>16</v>
      </c>
      <c r="P24" s="45">
        <v>16</v>
      </c>
      <c r="Q24" s="45">
        <v>15.7</v>
      </c>
      <c r="R24" s="45">
        <v>15.7</v>
      </c>
      <c r="S24" s="45">
        <v>15.7</v>
      </c>
      <c r="T24" s="45">
        <v>15.7</v>
      </c>
      <c r="U24" s="45">
        <v>17.8</v>
      </c>
      <c r="V24" s="45">
        <v>17.8</v>
      </c>
      <c r="W24" s="45">
        <v>17.8</v>
      </c>
      <c r="X24" s="45">
        <v>17.8</v>
      </c>
      <c r="Y24" s="45">
        <v>17.8</v>
      </c>
      <c r="Z24" s="45">
        <v>17.8</v>
      </c>
      <c r="AA24" s="45">
        <v>17.8</v>
      </c>
      <c r="AB24" s="45">
        <v>26</v>
      </c>
      <c r="AC24" s="45">
        <v>26</v>
      </c>
      <c r="AD24" s="45">
        <v>26</v>
      </c>
      <c r="AE24" s="45">
        <v>26</v>
      </c>
      <c r="AF24" s="45" t="s">
        <v>283</v>
      </c>
      <c r="AG24" s="49">
        <v>25</v>
      </c>
      <c r="AH24" s="47">
        <f t="shared" si="2"/>
        <v>26</v>
      </c>
      <c r="AI24" s="48">
        <f t="shared" si="3"/>
        <v>10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 t="s">
        <v>270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 t="s">
        <v>282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12.5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12.5</v>
      </c>
      <c r="O27" s="45">
        <v>12.5</v>
      </c>
      <c r="P27" s="45">
        <v>12.5</v>
      </c>
      <c r="Q27" s="45">
        <v>12.5</v>
      </c>
      <c r="R27" s="45">
        <v>12.5</v>
      </c>
      <c r="S27" s="45">
        <v>12.5</v>
      </c>
      <c r="T27" s="45">
        <v>12.5</v>
      </c>
      <c r="U27" s="45">
        <v>12.5</v>
      </c>
      <c r="V27" s="45">
        <v>12.5</v>
      </c>
      <c r="W27" s="45">
        <v>12.5</v>
      </c>
      <c r="X27" s="45">
        <v>12.5</v>
      </c>
      <c r="Y27" s="45">
        <v>12.5</v>
      </c>
      <c r="Z27" s="45">
        <v>25</v>
      </c>
      <c r="AA27" s="45">
        <v>12</v>
      </c>
      <c r="AB27" s="45">
        <v>12</v>
      </c>
      <c r="AC27" s="45">
        <v>12</v>
      </c>
      <c r="AD27" s="45">
        <v>8</v>
      </c>
      <c r="AE27" s="45">
        <v>8</v>
      </c>
      <c r="AF27" s="45"/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/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/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/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/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20.3</v>
      </c>
      <c r="C32" s="45">
        <v>20.3</v>
      </c>
      <c r="D32" s="45">
        <v>20.3</v>
      </c>
      <c r="E32" s="45">
        <v>20.3</v>
      </c>
      <c r="F32" s="45">
        <v>20.3</v>
      </c>
      <c r="G32" s="45">
        <v>20.3</v>
      </c>
      <c r="H32" s="45">
        <v>20.3</v>
      </c>
      <c r="I32" s="45">
        <v>20.3</v>
      </c>
      <c r="J32" s="45">
        <v>20.3</v>
      </c>
      <c r="K32" s="45">
        <v>20.3</v>
      </c>
      <c r="L32" s="45">
        <v>20.3</v>
      </c>
      <c r="M32" s="45">
        <v>20.3</v>
      </c>
      <c r="N32" s="45">
        <v>20.3</v>
      </c>
      <c r="O32" s="45">
        <v>20.3</v>
      </c>
      <c r="P32" s="45">
        <v>20.3</v>
      </c>
      <c r="Q32" s="45">
        <v>20.3</v>
      </c>
      <c r="R32" s="45">
        <v>20.3</v>
      </c>
      <c r="S32" s="45">
        <v>20.3</v>
      </c>
      <c r="T32" s="45">
        <v>20.3</v>
      </c>
      <c r="U32" s="45">
        <v>20.3</v>
      </c>
      <c r="V32" s="45">
        <v>20.3</v>
      </c>
      <c r="W32" s="45">
        <v>20.3</v>
      </c>
      <c r="X32" s="45">
        <v>20.3</v>
      </c>
      <c r="Y32" s="45">
        <v>20.3</v>
      </c>
      <c r="Z32" s="45">
        <v>20.3</v>
      </c>
      <c r="AA32" s="45">
        <v>20.3</v>
      </c>
      <c r="AB32" s="45">
        <v>20.3</v>
      </c>
      <c r="AC32" s="45">
        <v>20.3</v>
      </c>
      <c r="AD32" s="45">
        <v>20.3</v>
      </c>
      <c r="AE32" s="45">
        <v>20.3</v>
      </c>
      <c r="AF32" s="45"/>
      <c r="AG32" s="49">
        <v>22</v>
      </c>
      <c r="AH32" s="47">
        <f t="shared" si="2"/>
        <v>20.3</v>
      </c>
      <c r="AI32" s="48">
        <f t="shared" si="3"/>
        <v>20.3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4</v>
      </c>
      <c r="M33" s="45">
        <v>4</v>
      </c>
      <c r="N33" s="45">
        <v>4</v>
      </c>
      <c r="O33" s="45">
        <v>4</v>
      </c>
      <c r="P33" s="45">
        <v>4</v>
      </c>
      <c r="Q33" s="45">
        <v>4</v>
      </c>
      <c r="R33" s="45">
        <v>4</v>
      </c>
      <c r="S33" s="45">
        <v>4</v>
      </c>
      <c r="T33" s="45">
        <v>4</v>
      </c>
      <c r="U33" s="45">
        <v>4</v>
      </c>
      <c r="V33" s="45">
        <v>4</v>
      </c>
      <c r="W33" s="45">
        <v>4</v>
      </c>
      <c r="X33" s="45">
        <v>4</v>
      </c>
      <c r="Y33" s="45">
        <v>4</v>
      </c>
      <c r="Z33" s="45">
        <v>5</v>
      </c>
      <c r="AA33" s="45">
        <v>5</v>
      </c>
      <c r="AB33" s="45">
        <v>5</v>
      </c>
      <c r="AC33" s="45">
        <v>5</v>
      </c>
      <c r="AD33" s="45">
        <v>5</v>
      </c>
      <c r="AE33" s="45">
        <v>5</v>
      </c>
      <c r="AF33" s="45"/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3.5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0</v>
      </c>
      <c r="Z34" s="45">
        <v>4</v>
      </c>
      <c r="AA34" s="45">
        <v>4</v>
      </c>
      <c r="AB34" s="45">
        <v>4</v>
      </c>
      <c r="AC34" s="45">
        <v>4</v>
      </c>
      <c r="AD34" s="45">
        <v>4</v>
      </c>
      <c r="AE34" s="45">
        <v>0</v>
      </c>
      <c r="AF34" s="45"/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15.56</v>
      </c>
      <c r="C35" s="45">
        <v>15.56</v>
      </c>
      <c r="D35" s="45">
        <v>15.56</v>
      </c>
      <c r="E35" s="45">
        <v>15.56</v>
      </c>
      <c r="F35" s="45">
        <v>15.56</v>
      </c>
      <c r="G35" s="45">
        <v>15.56</v>
      </c>
      <c r="H35" s="45">
        <v>15.56</v>
      </c>
      <c r="I35" s="45">
        <v>15.56</v>
      </c>
      <c r="J35" s="45">
        <v>15.56</v>
      </c>
      <c r="K35" s="45">
        <v>15.56</v>
      </c>
      <c r="L35" s="45">
        <v>15.56</v>
      </c>
      <c r="M35" s="45">
        <v>15.56</v>
      </c>
      <c r="N35" s="45">
        <v>15.56</v>
      </c>
      <c r="O35" s="45">
        <v>15.56</v>
      </c>
      <c r="P35" s="45">
        <v>15.56</v>
      </c>
      <c r="Q35" s="45">
        <v>15.56</v>
      </c>
      <c r="R35" s="45">
        <v>15.56</v>
      </c>
      <c r="S35" s="45">
        <v>15.56</v>
      </c>
      <c r="T35" s="45">
        <v>15.56</v>
      </c>
      <c r="U35" s="45">
        <v>15.56</v>
      </c>
      <c r="V35" s="45">
        <v>15.56</v>
      </c>
      <c r="W35" s="45">
        <v>15.56</v>
      </c>
      <c r="X35" s="45">
        <v>15.56</v>
      </c>
      <c r="Y35" s="45">
        <v>15.56</v>
      </c>
      <c r="Z35" s="45">
        <v>15.56</v>
      </c>
      <c r="AA35" s="45">
        <v>15.56</v>
      </c>
      <c r="AB35" s="45">
        <v>15.56</v>
      </c>
      <c r="AC35" s="45">
        <v>15.56</v>
      </c>
      <c r="AD35" s="45">
        <v>15.56</v>
      </c>
      <c r="AE35" s="45">
        <v>15.56</v>
      </c>
      <c r="AF35" s="45"/>
      <c r="AG35" s="49">
        <v>14.9</v>
      </c>
      <c r="AH35" s="47">
        <f t="shared" si="2"/>
        <v>15.56</v>
      </c>
      <c r="AI35" s="48">
        <f t="shared" si="3"/>
        <v>15.56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/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/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9</v>
      </c>
      <c r="C38" s="45">
        <v>9</v>
      </c>
      <c r="D38" s="45">
        <v>9</v>
      </c>
      <c r="E38" s="45">
        <v>9</v>
      </c>
      <c r="F38" s="45">
        <v>9</v>
      </c>
      <c r="G38" s="45">
        <v>9</v>
      </c>
      <c r="H38" s="45">
        <v>9</v>
      </c>
      <c r="I38" s="45">
        <v>9</v>
      </c>
      <c r="J38" s="45">
        <v>9</v>
      </c>
      <c r="K38" s="45">
        <v>9</v>
      </c>
      <c r="L38" s="45">
        <v>9</v>
      </c>
      <c r="M38" s="45">
        <v>9</v>
      </c>
      <c r="N38" s="45">
        <v>9</v>
      </c>
      <c r="O38" s="45">
        <v>9</v>
      </c>
      <c r="P38" s="45">
        <v>9</v>
      </c>
      <c r="Q38" s="45">
        <v>9</v>
      </c>
      <c r="R38" s="45">
        <v>9</v>
      </c>
      <c r="S38" s="45">
        <v>9</v>
      </c>
      <c r="T38" s="45">
        <v>9</v>
      </c>
      <c r="U38" s="45">
        <v>9</v>
      </c>
      <c r="V38" s="45">
        <v>9</v>
      </c>
      <c r="W38" s="45">
        <v>9</v>
      </c>
      <c r="X38" s="45">
        <v>9</v>
      </c>
      <c r="Y38" s="45">
        <v>9</v>
      </c>
      <c r="Z38" s="45">
        <v>9</v>
      </c>
      <c r="AA38" s="45">
        <v>9</v>
      </c>
      <c r="AB38" s="45">
        <v>9</v>
      </c>
      <c r="AC38" s="45">
        <v>9</v>
      </c>
      <c r="AD38" s="45">
        <v>9</v>
      </c>
      <c r="AE38" s="45">
        <v>9</v>
      </c>
      <c r="AF38" s="45"/>
      <c r="AG38" s="49">
        <v>13</v>
      </c>
      <c r="AH38" s="47">
        <f t="shared" si="2"/>
        <v>9</v>
      </c>
      <c r="AI38" s="48">
        <f t="shared" si="3"/>
        <v>9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6</v>
      </c>
      <c r="O39" s="45">
        <v>6</v>
      </c>
      <c r="P39" s="45">
        <v>6</v>
      </c>
      <c r="Q39" s="45">
        <v>6</v>
      </c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>
        <v>6</v>
      </c>
      <c r="X39" s="45">
        <v>6</v>
      </c>
      <c r="Y39" s="45">
        <v>6</v>
      </c>
      <c r="Z39" s="45">
        <v>12</v>
      </c>
      <c r="AA39" s="45">
        <v>6</v>
      </c>
      <c r="AB39" s="45">
        <v>6</v>
      </c>
      <c r="AC39" s="45">
        <v>6</v>
      </c>
      <c r="AD39" s="45">
        <v>3</v>
      </c>
      <c r="AE39" s="45">
        <v>3</v>
      </c>
      <c r="AF39" s="45"/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3</v>
      </c>
      <c r="C40" s="45">
        <v>3</v>
      </c>
      <c r="D40" s="45">
        <v>3</v>
      </c>
      <c r="E40" s="45">
        <v>3</v>
      </c>
      <c r="F40" s="45">
        <v>3</v>
      </c>
      <c r="G40" s="45">
        <v>3</v>
      </c>
      <c r="H40" s="45">
        <v>3</v>
      </c>
      <c r="I40" s="45">
        <v>3</v>
      </c>
      <c r="J40" s="45">
        <v>3</v>
      </c>
      <c r="K40" s="45">
        <v>3</v>
      </c>
      <c r="L40" s="45">
        <v>3</v>
      </c>
      <c r="M40" s="45">
        <v>3</v>
      </c>
      <c r="N40" s="45">
        <v>3</v>
      </c>
      <c r="O40" s="45">
        <v>3</v>
      </c>
      <c r="P40" s="45">
        <v>3</v>
      </c>
      <c r="Q40" s="45">
        <v>3</v>
      </c>
      <c r="R40" s="45">
        <v>3</v>
      </c>
      <c r="S40" s="45">
        <v>3</v>
      </c>
      <c r="T40" s="45">
        <v>3</v>
      </c>
      <c r="U40" s="45">
        <v>3</v>
      </c>
      <c r="V40" s="45">
        <v>3</v>
      </c>
      <c r="W40" s="45">
        <v>3</v>
      </c>
      <c r="X40" s="45">
        <v>3</v>
      </c>
      <c r="Y40" s="45">
        <v>3</v>
      </c>
      <c r="Z40" s="45">
        <v>3</v>
      </c>
      <c r="AA40" s="45">
        <v>3</v>
      </c>
      <c r="AB40" s="45">
        <v>3</v>
      </c>
      <c r="AC40" s="45">
        <v>3</v>
      </c>
      <c r="AD40" s="45">
        <v>3</v>
      </c>
      <c r="AE40" s="45">
        <v>3</v>
      </c>
      <c r="AF40" s="45"/>
      <c r="AG40" s="49">
        <v>12</v>
      </c>
      <c r="AH40" s="47">
        <f t="shared" si="2"/>
        <v>3</v>
      </c>
      <c r="AI40" s="48">
        <f t="shared" si="3"/>
        <v>3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/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/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5.5</v>
      </c>
      <c r="N43" s="45">
        <v>5.5</v>
      </c>
      <c r="O43" s="45">
        <v>5.5</v>
      </c>
      <c r="P43" s="45">
        <v>5.5</v>
      </c>
      <c r="Q43" s="45">
        <v>5.5</v>
      </c>
      <c r="R43" s="45">
        <v>5.5</v>
      </c>
      <c r="S43" s="45">
        <v>5.5</v>
      </c>
      <c r="T43" s="45">
        <v>5.5</v>
      </c>
      <c r="U43" s="45">
        <v>5.5</v>
      </c>
      <c r="V43" s="45">
        <v>5.5</v>
      </c>
      <c r="W43" s="45">
        <v>5.5</v>
      </c>
      <c r="X43" s="45">
        <v>5.5</v>
      </c>
      <c r="Y43" s="45">
        <v>5.5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/>
      <c r="AG43" s="51">
        <v>11.88</v>
      </c>
      <c r="AH43" s="47">
        <f t="shared" si="2"/>
        <v>11</v>
      </c>
      <c r="AI43" s="48">
        <f t="shared" si="3"/>
        <v>5.5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/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9</v>
      </c>
      <c r="Q45" s="45">
        <v>9</v>
      </c>
      <c r="R45" s="45">
        <v>9</v>
      </c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/>
      <c r="AG45" s="54">
        <v>10</v>
      </c>
      <c r="AH45" s="47">
        <f t="shared" si="2"/>
        <v>9</v>
      </c>
      <c r="AI45" s="48">
        <f t="shared" si="3"/>
        <v>9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/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/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380</v>
      </c>
      <c r="C48" s="56">
        <v>380</v>
      </c>
      <c r="D48" s="56">
        <v>380</v>
      </c>
      <c r="E48" s="56">
        <v>380</v>
      </c>
      <c r="F48" s="56">
        <v>380</v>
      </c>
      <c r="G48" s="56">
        <v>380</v>
      </c>
      <c r="H48" s="56">
        <v>380</v>
      </c>
      <c r="I48" s="56">
        <v>380</v>
      </c>
      <c r="J48" s="56">
        <v>380</v>
      </c>
      <c r="K48" s="56">
        <v>380</v>
      </c>
      <c r="L48" s="56">
        <v>380</v>
      </c>
      <c r="M48" s="56">
        <v>380</v>
      </c>
      <c r="N48" s="56">
        <v>380</v>
      </c>
      <c r="O48" s="56">
        <v>380</v>
      </c>
      <c r="P48" s="56">
        <v>380</v>
      </c>
      <c r="Q48" s="56">
        <v>380</v>
      </c>
      <c r="R48" s="56">
        <v>380</v>
      </c>
      <c r="S48" s="56">
        <v>380</v>
      </c>
      <c r="T48" s="56">
        <v>380</v>
      </c>
      <c r="U48" s="56">
        <v>380</v>
      </c>
      <c r="V48" s="56">
        <v>380</v>
      </c>
      <c r="W48" s="56">
        <v>380</v>
      </c>
      <c r="X48" s="56">
        <v>380</v>
      </c>
      <c r="Y48" s="56">
        <v>380</v>
      </c>
      <c r="Z48" s="56">
        <v>380</v>
      </c>
      <c r="AA48" s="56">
        <v>380</v>
      </c>
      <c r="AB48" s="56">
        <v>380</v>
      </c>
      <c r="AC48" s="56">
        <v>380</v>
      </c>
      <c r="AD48" s="56">
        <v>380</v>
      </c>
      <c r="AE48" s="56">
        <v>380</v>
      </c>
      <c r="AF48" s="56"/>
      <c r="AG48" s="54">
        <v>85</v>
      </c>
      <c r="AH48" s="47">
        <f t="shared" si="2"/>
        <v>380</v>
      </c>
      <c r="AI48" s="48">
        <f t="shared" si="3"/>
        <v>380</v>
      </c>
      <c r="AK48" s="50"/>
    </row>
    <row r="49" spans="1:41" ht="15.75" thickBot="1" x14ac:dyDescent="0.3">
      <c r="A49" s="57" t="s">
        <v>57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6"/>
      <c r="AA49" s="56"/>
      <c r="AB49" s="56"/>
      <c r="AC49" s="56"/>
      <c r="AD49" s="56"/>
      <c r="AE49" s="56"/>
      <c r="AF49" s="56"/>
      <c r="AG49" s="54">
        <v>240</v>
      </c>
      <c r="AH49" s="47">
        <f t="shared" si="2"/>
        <v>0</v>
      </c>
      <c r="AI49" s="48">
        <f t="shared" si="3"/>
        <v>0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1073.7599999999998</v>
      </c>
      <c r="C50" s="60">
        <f t="shared" si="4"/>
        <v>1019.26</v>
      </c>
      <c r="D50" s="60">
        <f t="shared" si="4"/>
        <v>1015.26</v>
      </c>
      <c r="E50" s="60">
        <f>SUM(E11:E48)</f>
        <v>1004.56</v>
      </c>
      <c r="F50" s="60">
        <f t="shared" si="4"/>
        <v>1004.56</v>
      </c>
      <c r="G50" s="60">
        <f t="shared" si="4"/>
        <v>1004.56</v>
      </c>
      <c r="H50" s="60">
        <f>SUM(H11:H48)</f>
        <v>1004.56</v>
      </c>
      <c r="I50" s="60">
        <f>SUM(I11:I48)</f>
        <v>1004.56</v>
      </c>
      <c r="J50" s="60">
        <f>SUM(J11:J48)</f>
        <v>1004.56</v>
      </c>
      <c r="K50" s="60">
        <f>SUM(K11:K48)</f>
        <v>1013.56</v>
      </c>
      <c r="L50" s="60">
        <f t="shared" si="4"/>
        <v>1017.56</v>
      </c>
      <c r="M50" s="60">
        <f t="shared" si="4"/>
        <v>922.06</v>
      </c>
      <c r="N50" s="60">
        <f t="shared" si="4"/>
        <v>1032.46</v>
      </c>
      <c r="O50" s="60">
        <f t="shared" si="4"/>
        <v>1052.76</v>
      </c>
      <c r="P50" s="60">
        <f t="shared" si="4"/>
        <v>1057.3599999999999</v>
      </c>
      <c r="Q50" s="60">
        <f t="shared" si="4"/>
        <v>1055.06</v>
      </c>
      <c r="R50" s="60">
        <f t="shared" si="4"/>
        <v>1055.06</v>
      </c>
      <c r="S50" s="60">
        <f t="shared" ref="S50:AA50" si="5">SUM(S11:S48)</f>
        <v>1055.06</v>
      </c>
      <c r="T50" s="60">
        <f t="shared" si="5"/>
        <v>1050.6599999999999</v>
      </c>
      <c r="U50" s="60">
        <f t="shared" si="5"/>
        <v>1068.26</v>
      </c>
      <c r="V50" s="60">
        <f t="shared" si="5"/>
        <v>1072.8599999999999</v>
      </c>
      <c r="W50" s="60">
        <f t="shared" si="5"/>
        <v>1079.8599999999999</v>
      </c>
      <c r="X50" s="60">
        <f t="shared" si="5"/>
        <v>1079.8599999999999</v>
      </c>
      <c r="Y50" s="60">
        <f t="shared" si="5"/>
        <v>1079.8599999999999</v>
      </c>
      <c r="Z50" s="60">
        <f t="shared" si="5"/>
        <v>1131.96</v>
      </c>
      <c r="AA50" s="60">
        <f t="shared" si="5"/>
        <v>1084.6599999999999</v>
      </c>
      <c r="AB50" s="60">
        <f t="shared" si="4"/>
        <v>1103.8599999999999</v>
      </c>
      <c r="AC50" s="60">
        <f t="shared" si="4"/>
        <v>1107.3599999999999</v>
      </c>
      <c r="AD50" s="60">
        <f t="shared" si="4"/>
        <v>1079.1599999999999</v>
      </c>
      <c r="AE50" s="60">
        <f t="shared" si="4"/>
        <v>1075.1599999999999</v>
      </c>
      <c r="AF50" s="60">
        <f t="shared" si="4"/>
        <v>0</v>
      </c>
      <c r="AG50" s="61">
        <f>SUM(AG13:AG48)</f>
        <v>922.14</v>
      </c>
      <c r="AH50" s="47">
        <f t="shared" si="2"/>
        <v>1131.96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380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/>
      <c r="AG51" s="51">
        <v>456</v>
      </c>
      <c r="AH51" s="47">
        <f t="shared" si="2"/>
        <v>456</v>
      </c>
      <c r="AI51" s="48">
        <f t="shared" si="3"/>
        <v>380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50</v>
      </c>
      <c r="AF52" s="64"/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22.5</v>
      </c>
      <c r="AE53" s="66">
        <v>22.5</v>
      </c>
      <c r="AF53" s="66"/>
      <c r="AG53" s="67">
        <v>22.1</v>
      </c>
      <c r="AH53" s="47">
        <f t="shared" si="2"/>
        <v>22.5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452</v>
      </c>
      <c r="C54" s="60">
        <f t="shared" si="6"/>
        <v>528</v>
      </c>
      <c r="D54" s="60">
        <f t="shared" si="6"/>
        <v>528</v>
      </c>
      <c r="E54" s="60">
        <f>SUM(E51:E53)</f>
        <v>528</v>
      </c>
      <c r="F54" s="60">
        <f t="shared" si="6"/>
        <v>528</v>
      </c>
      <c r="G54" s="60">
        <f t="shared" si="6"/>
        <v>528</v>
      </c>
      <c r="H54" s="60">
        <f>SUM(H51:H53)</f>
        <v>528</v>
      </c>
      <c r="I54" s="60">
        <f>SUM(I51:I53)</f>
        <v>528</v>
      </c>
      <c r="J54" s="60">
        <f>SUM(J51:J53)</f>
        <v>528</v>
      </c>
      <c r="K54" s="60">
        <f>SUM(K51:K53)</f>
        <v>528</v>
      </c>
      <c r="L54" s="60">
        <f t="shared" si="6"/>
        <v>528</v>
      </c>
      <c r="M54" s="60">
        <f t="shared" si="6"/>
        <v>538</v>
      </c>
      <c r="N54" s="60">
        <f t="shared" si="6"/>
        <v>538</v>
      </c>
      <c r="O54" s="60">
        <f t="shared" si="6"/>
        <v>538</v>
      </c>
      <c r="P54" s="60">
        <f t="shared" si="6"/>
        <v>538</v>
      </c>
      <c r="Q54" s="60">
        <f t="shared" si="6"/>
        <v>538</v>
      </c>
      <c r="R54" s="60">
        <f t="shared" si="6"/>
        <v>538</v>
      </c>
      <c r="S54" s="60">
        <f t="shared" ref="S54:AA54" si="7">SUM(S51:S53)</f>
        <v>538</v>
      </c>
      <c r="T54" s="60">
        <f t="shared" si="7"/>
        <v>538</v>
      </c>
      <c r="U54" s="60">
        <f t="shared" si="7"/>
        <v>538</v>
      </c>
      <c r="V54" s="60">
        <f t="shared" si="7"/>
        <v>538</v>
      </c>
      <c r="W54" s="60">
        <f t="shared" si="7"/>
        <v>538</v>
      </c>
      <c r="X54" s="60">
        <f t="shared" si="7"/>
        <v>538</v>
      </c>
      <c r="Y54" s="60">
        <f t="shared" si="7"/>
        <v>538</v>
      </c>
      <c r="Z54" s="60">
        <f t="shared" si="7"/>
        <v>538</v>
      </c>
      <c r="AA54" s="60">
        <f t="shared" si="7"/>
        <v>538</v>
      </c>
      <c r="AB54" s="60">
        <f t="shared" si="6"/>
        <v>538</v>
      </c>
      <c r="AC54" s="60">
        <f t="shared" si="6"/>
        <v>538</v>
      </c>
      <c r="AD54" s="60">
        <f t="shared" si="6"/>
        <v>538.5</v>
      </c>
      <c r="AE54" s="60">
        <f t="shared" si="6"/>
        <v>528.5</v>
      </c>
      <c r="AF54" s="60">
        <f t="shared" si="6"/>
        <v>0</v>
      </c>
      <c r="AG54" s="61">
        <f t="shared" si="6"/>
        <v>538.1</v>
      </c>
      <c r="AH54" s="47">
        <f t="shared" si="2"/>
        <v>538.5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146.69999999999999</v>
      </c>
      <c r="C55" s="45">
        <v>146.69999999999999</v>
      </c>
      <c r="D55" s="45">
        <v>146.69999999999999</v>
      </c>
      <c r="E55" s="45">
        <v>146.69999999999999</v>
      </c>
      <c r="F55" s="45">
        <v>146.69999999999999</v>
      </c>
      <c r="G55" s="45">
        <v>146.69999999999999</v>
      </c>
      <c r="H55" s="45">
        <v>146.69999999999999</v>
      </c>
      <c r="I55" s="45">
        <v>146.69999999999999</v>
      </c>
      <c r="J55" s="45">
        <v>146.69999999999999</v>
      </c>
      <c r="K55" s="45">
        <v>146.69999999999999</v>
      </c>
      <c r="L55" s="45">
        <v>146.69999999999999</v>
      </c>
      <c r="M55" s="45">
        <v>0</v>
      </c>
      <c r="N55" s="45">
        <v>128.30000000000001</v>
      </c>
      <c r="O55" s="45">
        <v>141.9</v>
      </c>
      <c r="P55" s="45">
        <v>131.4</v>
      </c>
      <c r="Q55" s="45">
        <v>141.19999999999999</v>
      </c>
      <c r="R55" s="45">
        <v>133.19999999999999</v>
      </c>
      <c r="S55" s="45">
        <v>133.19999999999999</v>
      </c>
      <c r="T55" s="45">
        <v>133.19999999999999</v>
      </c>
      <c r="U55" s="45">
        <v>133.19999999999999</v>
      </c>
      <c r="V55" s="45">
        <v>133.19999999999999</v>
      </c>
      <c r="W55" s="45">
        <v>133.19999999999999</v>
      </c>
      <c r="X55" s="45">
        <v>147.19999999999999</v>
      </c>
      <c r="Y55" s="45">
        <v>147.19999999999999</v>
      </c>
      <c r="Z55" s="45">
        <v>146.9</v>
      </c>
      <c r="AA55" s="45">
        <v>146.6</v>
      </c>
      <c r="AB55" s="45">
        <v>146.6</v>
      </c>
      <c r="AC55" s="45">
        <v>147</v>
      </c>
      <c r="AD55" s="45">
        <v>147</v>
      </c>
      <c r="AE55" s="45">
        <v>147</v>
      </c>
      <c r="AF55" s="45"/>
      <c r="AG55" s="51">
        <v>144</v>
      </c>
      <c r="AH55" s="47">
        <f t="shared" si="2"/>
        <v>147.19999999999999</v>
      </c>
      <c r="AI55" s="48">
        <f t="shared" si="3"/>
        <v>0</v>
      </c>
      <c r="AK55" s="50"/>
    </row>
    <row r="56" spans="1:41" x14ac:dyDescent="0.25">
      <c r="A56" s="53" t="s">
        <v>64</v>
      </c>
      <c r="B56" s="64">
        <v>70.2</v>
      </c>
      <c r="C56" s="64">
        <v>58</v>
      </c>
      <c r="D56" s="64">
        <v>58</v>
      </c>
      <c r="E56" s="64">
        <v>58</v>
      </c>
      <c r="F56" s="64">
        <v>58</v>
      </c>
      <c r="G56" s="64">
        <v>58</v>
      </c>
      <c r="H56" s="64">
        <v>58</v>
      </c>
      <c r="I56" s="64">
        <v>58</v>
      </c>
      <c r="J56" s="64">
        <v>70</v>
      </c>
      <c r="K56" s="64">
        <v>70</v>
      </c>
      <c r="L56" s="64">
        <v>70</v>
      </c>
      <c r="M56" s="64">
        <v>70</v>
      </c>
      <c r="N56" s="64">
        <v>69.5</v>
      </c>
      <c r="O56" s="64">
        <v>68.900000000000006</v>
      </c>
      <c r="P56" s="64">
        <v>69.400000000000006</v>
      </c>
      <c r="Q56" s="64">
        <v>70.099999999999994</v>
      </c>
      <c r="R56" s="64">
        <v>66.599999999999994</v>
      </c>
      <c r="S56" s="64">
        <v>66.599999999999994</v>
      </c>
      <c r="T56" s="64">
        <v>66.599999999999994</v>
      </c>
      <c r="U56" s="64">
        <v>68.7</v>
      </c>
      <c r="V56" s="64">
        <v>68.7</v>
      </c>
      <c r="W56" s="64">
        <v>68.7</v>
      </c>
      <c r="X56" s="64">
        <v>68.7</v>
      </c>
      <c r="Y56" s="64">
        <v>68.7</v>
      </c>
      <c r="Z56" s="45">
        <v>69.5</v>
      </c>
      <c r="AA56" s="45">
        <v>69.5</v>
      </c>
      <c r="AB56" s="45">
        <v>69.5</v>
      </c>
      <c r="AC56" s="45">
        <v>70.099999999999994</v>
      </c>
      <c r="AD56" s="45">
        <v>70.099999999999994</v>
      </c>
      <c r="AE56" s="45">
        <v>70.099999999999994</v>
      </c>
      <c r="AF56" s="45"/>
      <c r="AG56" s="54">
        <v>70</v>
      </c>
      <c r="AH56" s="47">
        <f t="shared" si="2"/>
        <v>70.2</v>
      </c>
      <c r="AI56" s="48">
        <f t="shared" si="3"/>
        <v>58</v>
      </c>
      <c r="AK56" s="50"/>
    </row>
    <row r="57" spans="1:41" x14ac:dyDescent="0.25">
      <c r="A57" s="53" t="s">
        <v>65</v>
      </c>
      <c r="B57" s="64">
        <v>65.5</v>
      </c>
      <c r="C57" s="64">
        <v>65.5</v>
      </c>
      <c r="D57" s="64">
        <v>53</v>
      </c>
      <c r="E57" s="64">
        <v>53</v>
      </c>
      <c r="F57" s="64">
        <v>53</v>
      </c>
      <c r="G57" s="64">
        <v>53</v>
      </c>
      <c r="H57" s="64">
        <v>53</v>
      </c>
      <c r="I57" s="64">
        <v>53</v>
      </c>
      <c r="J57" s="64">
        <v>60</v>
      </c>
      <c r="K57" s="64">
        <v>60</v>
      </c>
      <c r="L57" s="64">
        <v>60</v>
      </c>
      <c r="M57" s="64">
        <v>60</v>
      </c>
      <c r="N57" s="64">
        <v>66.900000000000006</v>
      </c>
      <c r="O57" s="64">
        <v>62.8</v>
      </c>
      <c r="P57" s="64">
        <v>65.2</v>
      </c>
      <c r="Q57" s="64">
        <v>61.2</v>
      </c>
      <c r="R57" s="64">
        <v>61.2</v>
      </c>
      <c r="S57" s="64">
        <v>61.2</v>
      </c>
      <c r="T57" s="64">
        <v>61.2</v>
      </c>
      <c r="U57" s="64">
        <v>65.5</v>
      </c>
      <c r="V57" s="64">
        <v>65.5</v>
      </c>
      <c r="W57" s="64">
        <v>65.5</v>
      </c>
      <c r="X57" s="64">
        <v>65.5</v>
      </c>
      <c r="Y57" s="64">
        <v>65.5</v>
      </c>
      <c r="Z57" s="45">
        <v>65.900000000000006</v>
      </c>
      <c r="AA57" s="45">
        <v>66.099999999999994</v>
      </c>
      <c r="AB57" s="45">
        <v>66.099999999999994</v>
      </c>
      <c r="AC57" s="45">
        <v>65.900000000000006</v>
      </c>
      <c r="AD57" s="45">
        <v>65.900000000000006</v>
      </c>
      <c r="AE57" s="45">
        <v>65.900000000000006</v>
      </c>
      <c r="AF57" s="45"/>
      <c r="AG57" s="54">
        <v>69</v>
      </c>
      <c r="AH57" s="47">
        <f t="shared" si="2"/>
        <v>66.900000000000006</v>
      </c>
      <c r="AI57" s="48">
        <f t="shared" si="3"/>
        <v>53</v>
      </c>
      <c r="AK57" s="50"/>
    </row>
    <row r="58" spans="1:41" x14ac:dyDescent="0.25">
      <c r="A58" s="53" t="s">
        <v>66</v>
      </c>
      <c r="B58" s="64">
        <v>60.9</v>
      </c>
      <c r="C58" s="64">
        <v>46</v>
      </c>
      <c r="D58" s="64">
        <v>46</v>
      </c>
      <c r="E58" s="64">
        <v>46</v>
      </c>
      <c r="F58" s="64">
        <v>46</v>
      </c>
      <c r="G58" s="64">
        <v>46</v>
      </c>
      <c r="H58" s="64">
        <v>46</v>
      </c>
      <c r="I58" s="64">
        <v>46</v>
      </c>
      <c r="J58" s="64">
        <v>50</v>
      </c>
      <c r="K58" s="64">
        <v>50</v>
      </c>
      <c r="L58" s="64">
        <v>50</v>
      </c>
      <c r="M58" s="64">
        <v>50</v>
      </c>
      <c r="N58" s="64">
        <v>61.7</v>
      </c>
      <c r="O58" s="64">
        <v>61.7</v>
      </c>
      <c r="P58" s="64">
        <v>60</v>
      </c>
      <c r="Q58" s="64">
        <v>60.2</v>
      </c>
      <c r="R58" s="64">
        <v>60.2</v>
      </c>
      <c r="S58" s="64">
        <v>60.2</v>
      </c>
      <c r="T58" s="64">
        <v>60.2</v>
      </c>
      <c r="U58" s="64">
        <v>60.2</v>
      </c>
      <c r="V58" s="64">
        <v>60.2</v>
      </c>
      <c r="W58" s="64">
        <v>60.2</v>
      </c>
      <c r="X58" s="64">
        <v>60.2</v>
      </c>
      <c r="Y58" s="64">
        <v>60.2</v>
      </c>
      <c r="Z58" s="45">
        <v>60.2</v>
      </c>
      <c r="AA58" s="45">
        <v>58.2</v>
      </c>
      <c r="AB58" s="45">
        <v>60</v>
      </c>
      <c r="AC58" s="45">
        <v>60</v>
      </c>
      <c r="AD58" s="45">
        <v>60</v>
      </c>
      <c r="AE58" s="45">
        <v>60</v>
      </c>
      <c r="AF58" s="45"/>
      <c r="AG58" s="54">
        <v>60</v>
      </c>
      <c r="AH58" s="47">
        <f t="shared" si="2"/>
        <v>61.7</v>
      </c>
      <c r="AI58" s="48">
        <f t="shared" si="3"/>
        <v>46</v>
      </c>
      <c r="AK58" s="50"/>
    </row>
    <row r="59" spans="1:41" x14ac:dyDescent="0.25">
      <c r="A59" s="53" t="s">
        <v>67</v>
      </c>
      <c r="B59" s="64">
        <v>0</v>
      </c>
      <c r="C59" s="64">
        <v>28</v>
      </c>
      <c r="D59" s="64">
        <v>24</v>
      </c>
      <c r="E59" s="64">
        <v>24</v>
      </c>
      <c r="F59" s="64">
        <v>24</v>
      </c>
      <c r="G59" s="64">
        <v>24</v>
      </c>
      <c r="H59" s="64">
        <v>24</v>
      </c>
      <c r="I59" s="64">
        <v>24</v>
      </c>
      <c r="J59" s="64">
        <v>24</v>
      </c>
      <c r="K59" s="64">
        <v>24</v>
      </c>
      <c r="L59" s="64">
        <v>24</v>
      </c>
      <c r="M59" s="64">
        <v>24</v>
      </c>
      <c r="N59" s="64">
        <v>24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64">
        <v>29</v>
      </c>
      <c r="Z59" s="45">
        <v>29</v>
      </c>
      <c r="AA59" s="45">
        <v>29</v>
      </c>
      <c r="AB59" s="45">
        <v>29</v>
      </c>
      <c r="AC59" s="45">
        <v>29</v>
      </c>
      <c r="AD59" s="45">
        <v>29</v>
      </c>
      <c r="AE59" s="45">
        <v>29</v>
      </c>
      <c r="AF59" s="45"/>
      <c r="AG59" s="54">
        <v>30</v>
      </c>
      <c r="AH59" s="47">
        <f t="shared" si="2"/>
        <v>29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14.3</v>
      </c>
      <c r="O60" s="64">
        <v>15.9</v>
      </c>
      <c r="P60" s="64">
        <v>18.5</v>
      </c>
      <c r="Q60" s="64">
        <v>19.600000000000001</v>
      </c>
      <c r="R60" s="64">
        <v>12</v>
      </c>
      <c r="S60" s="64">
        <v>8.3000000000000007</v>
      </c>
      <c r="T60" s="64">
        <v>4.5</v>
      </c>
      <c r="U60" s="64">
        <v>3.5</v>
      </c>
      <c r="V60" s="64">
        <v>1.5</v>
      </c>
      <c r="W60" s="64">
        <v>0</v>
      </c>
      <c r="X60" s="64">
        <v>0</v>
      </c>
      <c r="Y60" s="64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/>
      <c r="AG60" s="54">
        <v>25</v>
      </c>
      <c r="AH60" s="47">
        <f t="shared" si="2"/>
        <v>19.600000000000001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/>
      <c r="AG61" s="54">
        <v>24</v>
      </c>
      <c r="AH61" s="47">
        <f t="shared" si="2"/>
        <v>16</v>
      </c>
      <c r="AI61" s="48">
        <f t="shared" si="3"/>
        <v>16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2.4</v>
      </c>
      <c r="N62" s="64">
        <v>2.4</v>
      </c>
      <c r="O62" s="64">
        <v>2.4</v>
      </c>
      <c r="P62" s="64">
        <v>0</v>
      </c>
      <c r="Q62" s="64">
        <v>0</v>
      </c>
      <c r="R62" s="64">
        <v>0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/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10.7</v>
      </c>
      <c r="C63" s="64">
        <v>10.7</v>
      </c>
      <c r="D63" s="64">
        <v>10.7</v>
      </c>
      <c r="E63" s="64">
        <v>11.7</v>
      </c>
      <c r="F63" s="64">
        <v>11.7</v>
      </c>
      <c r="G63" s="64">
        <v>11.7</v>
      </c>
      <c r="H63" s="64">
        <v>11.7</v>
      </c>
      <c r="I63" s="64">
        <v>11.7</v>
      </c>
      <c r="J63" s="64">
        <v>11.7</v>
      </c>
      <c r="K63" s="64">
        <v>11.7</v>
      </c>
      <c r="L63" s="64">
        <v>11.7</v>
      </c>
      <c r="M63" s="64">
        <v>11.7</v>
      </c>
      <c r="N63" s="64">
        <v>11.7</v>
      </c>
      <c r="O63" s="64">
        <v>10.9</v>
      </c>
      <c r="P63" s="64">
        <v>10.9</v>
      </c>
      <c r="Q63" s="64">
        <v>11.2</v>
      </c>
      <c r="R63" s="64">
        <v>11.4</v>
      </c>
      <c r="S63" s="64">
        <v>11.4</v>
      </c>
      <c r="T63" s="64">
        <v>11.4</v>
      </c>
      <c r="U63" s="64">
        <v>11.4</v>
      </c>
      <c r="V63" s="64">
        <v>11.4</v>
      </c>
      <c r="W63" s="64">
        <v>11.4</v>
      </c>
      <c r="X63" s="64">
        <v>11.4</v>
      </c>
      <c r="Y63" s="64">
        <v>11.4</v>
      </c>
      <c r="Z63" s="64">
        <v>11.4</v>
      </c>
      <c r="AA63" s="64">
        <v>11.4</v>
      </c>
      <c r="AB63" s="64">
        <v>11.4</v>
      </c>
      <c r="AC63" s="64">
        <v>11</v>
      </c>
      <c r="AD63" s="64">
        <v>11</v>
      </c>
      <c r="AE63" s="64">
        <v>11</v>
      </c>
      <c r="AF63" s="64"/>
      <c r="AG63" s="54">
        <v>14.1</v>
      </c>
      <c r="AH63" s="47">
        <f t="shared" si="2"/>
        <v>11.7</v>
      </c>
      <c r="AI63" s="48">
        <f t="shared" si="3"/>
        <v>10.7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13.2</v>
      </c>
      <c r="C64" s="64">
        <v>13.2</v>
      </c>
      <c r="D64" s="64">
        <v>10.199999999999999</v>
      </c>
      <c r="E64" s="64">
        <v>10.4</v>
      </c>
      <c r="F64" s="64">
        <v>10.4</v>
      </c>
      <c r="G64" s="64">
        <v>10.4</v>
      </c>
      <c r="H64" s="64">
        <v>10.4</v>
      </c>
      <c r="I64" s="64">
        <v>10.4</v>
      </c>
      <c r="J64" s="64">
        <v>10.4</v>
      </c>
      <c r="K64" s="64">
        <v>10.4</v>
      </c>
      <c r="L64" s="64">
        <v>10.4</v>
      </c>
      <c r="M64" s="64">
        <v>13</v>
      </c>
      <c r="N64" s="64">
        <v>13.4</v>
      </c>
      <c r="O64" s="64">
        <v>13.4</v>
      </c>
      <c r="P64" s="64">
        <v>13.4</v>
      </c>
      <c r="Q64" s="64">
        <v>13.4</v>
      </c>
      <c r="R64" s="64">
        <v>13.5</v>
      </c>
      <c r="S64" s="64">
        <v>13.5</v>
      </c>
      <c r="T64" s="64">
        <v>13.5</v>
      </c>
      <c r="U64" s="64">
        <v>13.5</v>
      </c>
      <c r="V64" s="64">
        <v>13.5</v>
      </c>
      <c r="W64" s="64">
        <v>13.5</v>
      </c>
      <c r="X64" s="64">
        <v>13.5</v>
      </c>
      <c r="Y64" s="64">
        <v>13.5</v>
      </c>
      <c r="Z64" s="64">
        <v>13.5</v>
      </c>
      <c r="AA64" s="64">
        <v>13.5</v>
      </c>
      <c r="AB64" s="64">
        <v>13.5</v>
      </c>
      <c r="AC64" s="64">
        <v>14.1</v>
      </c>
      <c r="AD64" s="64">
        <v>14.1</v>
      </c>
      <c r="AE64" s="64">
        <v>5</v>
      </c>
      <c r="AF64" s="64"/>
      <c r="AG64" s="54">
        <v>14</v>
      </c>
      <c r="AH64" s="47">
        <f t="shared" si="2"/>
        <v>14.1</v>
      </c>
      <c r="AI64" s="48">
        <f t="shared" si="3"/>
        <v>5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0</v>
      </c>
      <c r="Q65" s="64">
        <v>0</v>
      </c>
      <c r="R65" s="64">
        <v>0</v>
      </c>
      <c r="S65" s="64">
        <v>0</v>
      </c>
      <c r="T65" s="64">
        <v>0</v>
      </c>
      <c r="U65" s="64">
        <v>0</v>
      </c>
      <c r="V65" s="64">
        <v>0</v>
      </c>
      <c r="W65" s="64">
        <v>0</v>
      </c>
      <c r="X65" s="64">
        <v>0</v>
      </c>
      <c r="Y65" s="64">
        <v>0</v>
      </c>
      <c r="Z65" s="64">
        <v>0</v>
      </c>
      <c r="AA65" s="64">
        <v>0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/>
      <c r="AG65" s="54">
        <v>10.050000000000001</v>
      </c>
      <c r="AH65" s="47">
        <f t="shared" si="2"/>
        <v>9.1999999999999993</v>
      </c>
      <c r="AI65" s="48">
        <f t="shared" si="3"/>
        <v>0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/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402.13999999999993</v>
      </c>
      <c r="C68" s="60">
        <f t="shared" si="8"/>
        <v>403.03999999999996</v>
      </c>
      <c r="D68" s="60">
        <f t="shared" si="8"/>
        <v>383.53999999999996</v>
      </c>
      <c r="E68" s="60">
        <f>SUM(E55:E67)</f>
        <v>384.73999999999995</v>
      </c>
      <c r="F68" s="60">
        <f t="shared" si="8"/>
        <v>384.73999999999995</v>
      </c>
      <c r="G68" s="60">
        <f t="shared" si="8"/>
        <v>384.73999999999995</v>
      </c>
      <c r="H68" s="60">
        <f>SUM(H55:H67)</f>
        <v>384.73999999999995</v>
      </c>
      <c r="I68" s="60">
        <f>SUM(I55:I67)</f>
        <v>384.73999999999995</v>
      </c>
      <c r="J68" s="60">
        <f>SUM(J55:J67)</f>
        <v>407.73999999999995</v>
      </c>
      <c r="K68" s="60">
        <f>SUM(K55:K67)</f>
        <v>407.73999999999995</v>
      </c>
      <c r="L68" s="60">
        <f t="shared" si="8"/>
        <v>407.73999999999995</v>
      </c>
      <c r="M68" s="60">
        <f t="shared" si="8"/>
        <v>266.04000000000002</v>
      </c>
      <c r="N68" s="60">
        <f t="shared" si="8"/>
        <v>427.14</v>
      </c>
      <c r="O68" s="60">
        <f t="shared" si="8"/>
        <v>441.83999999999992</v>
      </c>
      <c r="P68" s="60">
        <f t="shared" si="8"/>
        <v>423.53999999999996</v>
      </c>
      <c r="Q68" s="60">
        <f t="shared" si="8"/>
        <v>431.64</v>
      </c>
      <c r="R68" s="60">
        <f t="shared" si="8"/>
        <v>412.84</v>
      </c>
      <c r="S68" s="60">
        <f t="shared" si="8"/>
        <v>414.34</v>
      </c>
      <c r="T68" s="60">
        <f t="shared" ref="T68:AA68" si="9">SUM(T55:T67)</f>
        <v>410.53999999999996</v>
      </c>
      <c r="U68" s="60">
        <f t="shared" si="9"/>
        <v>415.93999999999994</v>
      </c>
      <c r="V68" s="60">
        <f t="shared" si="9"/>
        <v>413.93999999999994</v>
      </c>
      <c r="W68" s="60">
        <f t="shared" si="9"/>
        <v>412.43999999999994</v>
      </c>
      <c r="X68" s="60">
        <f t="shared" si="9"/>
        <v>426.43999999999994</v>
      </c>
      <c r="Y68" s="60">
        <f t="shared" si="9"/>
        <v>426.43999999999994</v>
      </c>
      <c r="Z68" s="60">
        <f t="shared" si="9"/>
        <v>427.34</v>
      </c>
      <c r="AA68" s="60">
        <f t="shared" si="9"/>
        <v>425.23999999999995</v>
      </c>
      <c r="AB68" s="60">
        <f t="shared" si="8"/>
        <v>436.23999999999995</v>
      </c>
      <c r="AC68" s="60">
        <f t="shared" si="8"/>
        <v>437.24</v>
      </c>
      <c r="AD68" s="60">
        <f t="shared" si="8"/>
        <v>437.24</v>
      </c>
      <c r="AE68" s="60">
        <f t="shared" si="8"/>
        <v>428.14</v>
      </c>
      <c r="AF68" s="60">
        <f t="shared" si="8"/>
        <v>3.54</v>
      </c>
      <c r="AG68" s="61">
        <f t="shared" si="8"/>
        <v>489.91</v>
      </c>
      <c r="AH68" s="47">
        <f t="shared" si="2"/>
        <v>441.83999999999992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>
        <v>19.3</v>
      </c>
      <c r="P69" s="45">
        <v>50</v>
      </c>
      <c r="Q69" s="45">
        <v>30</v>
      </c>
      <c r="R69" s="45">
        <v>29.9</v>
      </c>
      <c r="S69" s="45">
        <v>13.1</v>
      </c>
      <c r="T69" s="45">
        <v>13.1</v>
      </c>
      <c r="U69" s="45">
        <v>9.6</v>
      </c>
      <c r="V69" s="45">
        <v>9.6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/>
      <c r="AG69" s="51">
        <v>60</v>
      </c>
      <c r="AH69" s="47">
        <f t="shared" si="2"/>
        <v>50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>
        <v>15</v>
      </c>
      <c r="P70" s="64">
        <v>23.2</v>
      </c>
      <c r="Q70" s="64">
        <v>14.1</v>
      </c>
      <c r="R70" s="64">
        <v>16.2</v>
      </c>
      <c r="S70" s="64">
        <v>6.4</v>
      </c>
      <c r="T70" s="64">
        <v>6.4</v>
      </c>
      <c r="U70" s="64">
        <v>3.9</v>
      </c>
      <c r="V70" s="64">
        <v>3.9</v>
      </c>
      <c r="W70" s="64">
        <v>2.8</v>
      </c>
      <c r="X70" s="64">
        <v>0</v>
      </c>
      <c r="Y70" s="64">
        <v>0</v>
      </c>
      <c r="Z70" s="64">
        <v>0</v>
      </c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/>
      <c r="AG70" s="54">
        <v>32</v>
      </c>
      <c r="AH70" s="47">
        <f t="shared" si="2"/>
        <v>23.2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>
        <v>5.5</v>
      </c>
      <c r="P71" s="66">
        <v>8.5</v>
      </c>
      <c r="Q71" s="66">
        <v>5.0999999999999996</v>
      </c>
      <c r="R71" s="66">
        <v>5.9</v>
      </c>
      <c r="S71" s="66">
        <v>2.2999999999999998</v>
      </c>
      <c r="T71" s="66">
        <v>2.2999999999999998</v>
      </c>
      <c r="U71" s="66">
        <v>1.4</v>
      </c>
      <c r="V71" s="66">
        <v>1.4</v>
      </c>
      <c r="W71" s="66">
        <v>1.4</v>
      </c>
      <c r="X71" s="66">
        <v>0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/>
      <c r="AG71" s="67">
        <v>14</v>
      </c>
      <c r="AH71" s="47">
        <f t="shared" si="2"/>
        <v>8.5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1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0">M69+M70+M71</f>
        <v>0</v>
      </c>
      <c r="N72" s="60">
        <f t="shared" si="10"/>
        <v>0</v>
      </c>
      <c r="O72" s="60">
        <f t="shared" si="10"/>
        <v>39.799999999999997</v>
      </c>
      <c r="P72" s="60">
        <f t="shared" si="10"/>
        <v>81.7</v>
      </c>
      <c r="Q72" s="60">
        <f t="shared" si="10"/>
        <v>49.2</v>
      </c>
      <c r="R72" s="60">
        <f t="shared" si="10"/>
        <v>51.999999999999993</v>
      </c>
      <c r="S72" s="60">
        <f t="shared" si="10"/>
        <v>21.8</v>
      </c>
      <c r="T72" s="60">
        <f t="shared" ref="T72:AA72" si="11">T69+T70+T71</f>
        <v>21.8</v>
      </c>
      <c r="U72" s="60">
        <f t="shared" si="11"/>
        <v>14.9</v>
      </c>
      <c r="V72" s="60">
        <f t="shared" si="11"/>
        <v>14.9</v>
      </c>
      <c r="W72" s="60">
        <f t="shared" si="11"/>
        <v>4.1999999999999993</v>
      </c>
      <c r="X72" s="60">
        <f t="shared" si="11"/>
        <v>0</v>
      </c>
      <c r="Y72" s="60">
        <f t="shared" si="11"/>
        <v>0</v>
      </c>
      <c r="Z72" s="60">
        <f t="shared" si="11"/>
        <v>0</v>
      </c>
      <c r="AA72" s="60">
        <f t="shared" si="11"/>
        <v>0</v>
      </c>
      <c r="AB72" s="60">
        <f t="shared" si="10"/>
        <v>0</v>
      </c>
      <c r="AC72" s="60">
        <f t="shared" si="10"/>
        <v>0</v>
      </c>
      <c r="AD72" s="60">
        <f t="shared" si="10"/>
        <v>0</v>
      </c>
      <c r="AE72" s="60">
        <f t="shared" si="10"/>
        <v>0</v>
      </c>
      <c r="AF72" s="60">
        <f t="shared" si="10"/>
        <v>0</v>
      </c>
      <c r="AG72" s="61">
        <f>SUM(AG69:AG71)</f>
        <v>106</v>
      </c>
      <c r="AH72" s="47">
        <f t="shared" si="2"/>
        <v>81.7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-49</v>
      </c>
      <c r="C73" s="45">
        <v>-69</v>
      </c>
      <c r="D73" s="45">
        <v>-66.400000000000006</v>
      </c>
      <c r="E73" s="45">
        <v>-66.400000000000006</v>
      </c>
      <c r="F73" s="45"/>
      <c r="G73" s="45"/>
      <c r="H73" s="45">
        <v>-70</v>
      </c>
      <c r="I73" s="45">
        <v>-72.5</v>
      </c>
      <c r="J73" s="45">
        <v>-73</v>
      </c>
      <c r="K73" s="45">
        <v>-73</v>
      </c>
      <c r="L73" s="45">
        <v>-62</v>
      </c>
      <c r="M73" s="45">
        <v>-58.2</v>
      </c>
      <c r="N73" s="45">
        <v>-54</v>
      </c>
      <c r="O73" s="45">
        <v>-50.8</v>
      </c>
      <c r="P73" s="45">
        <v>-47.6</v>
      </c>
      <c r="Q73" s="45">
        <v>-49.6</v>
      </c>
      <c r="R73" s="45">
        <v>-45.4</v>
      </c>
      <c r="S73" s="45">
        <v>-45</v>
      </c>
      <c r="T73" s="45">
        <v>-43.9</v>
      </c>
      <c r="U73" s="45">
        <v>-47.2</v>
      </c>
      <c r="V73" s="45">
        <v>-51.2</v>
      </c>
      <c r="W73" s="45">
        <v>-55.7</v>
      </c>
      <c r="X73" s="45">
        <v>-58.6</v>
      </c>
      <c r="Y73" s="45">
        <v>-22.5</v>
      </c>
      <c r="Z73" s="45">
        <v>-8.6</v>
      </c>
      <c r="AA73" s="45">
        <v>-5.4</v>
      </c>
      <c r="AB73" s="45">
        <v>-36</v>
      </c>
      <c r="AC73" s="45">
        <v>-37.700000000000003</v>
      </c>
      <c r="AD73" s="45">
        <v>-38.4</v>
      </c>
      <c r="AE73" s="45">
        <v>-40</v>
      </c>
      <c r="AF73" s="45"/>
      <c r="AG73" s="51"/>
      <c r="AH73" s="47">
        <f t="shared" si="2"/>
        <v>-5.4</v>
      </c>
      <c r="AI73" s="48">
        <f t="shared" si="3"/>
        <v>-73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>
        <v>0</v>
      </c>
      <c r="AD74" s="64">
        <v>0</v>
      </c>
      <c r="AE74" s="64">
        <v>0</v>
      </c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-426</v>
      </c>
      <c r="C75" s="64">
        <v>-476</v>
      </c>
      <c r="D75" s="64">
        <v>-458</v>
      </c>
      <c r="E75" s="64">
        <v>-458</v>
      </c>
      <c r="F75" s="64"/>
      <c r="G75" s="64"/>
      <c r="H75" s="64">
        <v>-488</v>
      </c>
      <c r="I75" s="64">
        <v>-507</v>
      </c>
      <c r="J75" s="64">
        <v>-499</v>
      </c>
      <c r="K75" s="64">
        <v>-499</v>
      </c>
      <c r="L75" s="64">
        <v>-430</v>
      </c>
      <c r="M75" s="64">
        <v>-424</v>
      </c>
      <c r="N75" s="64">
        <v>-407.2</v>
      </c>
      <c r="O75" s="64">
        <v>-398</v>
      </c>
      <c r="P75" s="64">
        <v>-366.8</v>
      </c>
      <c r="Q75" s="64">
        <v>-354</v>
      </c>
      <c r="R75" s="64">
        <v>-400.2</v>
      </c>
      <c r="S75" s="64">
        <v>-401</v>
      </c>
      <c r="T75" s="64">
        <v>-375.9</v>
      </c>
      <c r="U75" s="64">
        <v>-387.9</v>
      </c>
      <c r="V75" s="64">
        <v>-485.3</v>
      </c>
      <c r="W75" s="64">
        <v>-472.8</v>
      </c>
      <c r="X75" s="64">
        <v>-423</v>
      </c>
      <c r="Y75" s="64">
        <v>-321.8</v>
      </c>
      <c r="Z75" s="64">
        <v>-358</v>
      </c>
      <c r="AA75" s="64">
        <v>-374.7</v>
      </c>
      <c r="AB75" s="64">
        <v>-337.5</v>
      </c>
      <c r="AC75" s="64">
        <v>-347.8</v>
      </c>
      <c r="AD75" s="64">
        <v>-357.2</v>
      </c>
      <c r="AE75" s="64">
        <v>-345.5</v>
      </c>
      <c r="AF75" s="64"/>
      <c r="AG75" s="74"/>
      <c r="AH75" s="47">
        <f t="shared" si="2"/>
        <v>-321.8</v>
      </c>
      <c r="AI75" s="48">
        <f t="shared" si="3"/>
        <v>-507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>
        <v>0</v>
      </c>
      <c r="AD76" s="64">
        <v>0</v>
      </c>
      <c r="AE76" s="75">
        <v>0</v>
      </c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64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>
        <v>0</v>
      </c>
      <c r="AD77" s="45">
        <v>0</v>
      </c>
      <c r="AE77" s="45">
        <v>0</v>
      </c>
      <c r="AF77" s="45"/>
      <c r="AG77" s="74"/>
      <c r="AH77" s="47">
        <f t="shared" ref="AH77:AH120" si="12">MAX(B77:AF77)</f>
        <v>0</v>
      </c>
      <c r="AI77" s="48">
        <f t="shared" ref="AI77:AI120" si="13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64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>
        <v>0</v>
      </c>
      <c r="AD78" s="76">
        <v>0</v>
      </c>
      <c r="AE78" s="76">
        <v>0</v>
      </c>
      <c r="AF78" s="76"/>
      <c r="AG78" s="74"/>
      <c r="AH78" s="47">
        <f t="shared" si="12"/>
        <v>0</v>
      </c>
      <c r="AI78" s="48">
        <f t="shared" si="13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64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>
        <v>0</v>
      </c>
      <c r="AD79" s="76">
        <v>0</v>
      </c>
      <c r="AE79" s="76">
        <v>0</v>
      </c>
      <c r="AF79" s="76"/>
      <c r="AG79" s="74"/>
      <c r="AH79" s="47">
        <f t="shared" si="12"/>
        <v>0</v>
      </c>
      <c r="AI79" s="48">
        <f t="shared" si="13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64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>
        <v>0</v>
      </c>
      <c r="AD80" s="76">
        <v>0</v>
      </c>
      <c r="AE80" s="76">
        <v>0</v>
      </c>
      <c r="AF80" s="76"/>
      <c r="AG80" s="74"/>
      <c r="AH80" s="47">
        <f t="shared" si="12"/>
        <v>0</v>
      </c>
      <c r="AI80" s="48">
        <f t="shared" si="13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64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>
        <v>0</v>
      </c>
      <c r="AD81" s="76">
        <v>0</v>
      </c>
      <c r="AE81" s="76">
        <v>0</v>
      </c>
      <c r="AF81" s="76"/>
      <c r="AG81" s="74"/>
      <c r="AH81" s="47">
        <f t="shared" si="12"/>
        <v>0</v>
      </c>
      <c r="AI81" s="48">
        <f t="shared" si="13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64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>
        <v>0</v>
      </c>
      <c r="AD82" s="76">
        <v>0</v>
      </c>
      <c r="AE82" s="76">
        <v>0</v>
      </c>
      <c r="AF82" s="76"/>
      <c r="AG82" s="84"/>
      <c r="AH82" s="47">
        <f t="shared" si="12"/>
        <v>0</v>
      </c>
      <c r="AI82" s="48">
        <f t="shared" si="13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64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>
        <v>0</v>
      </c>
      <c r="AD83" s="76">
        <v>0</v>
      </c>
      <c r="AE83" s="76">
        <v>0</v>
      </c>
      <c r="AF83" s="76"/>
      <c r="AG83" s="84"/>
      <c r="AH83" s="47">
        <f t="shared" si="12"/>
        <v>0</v>
      </c>
      <c r="AI83" s="48">
        <f t="shared" si="13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4">SUMIF(B73:B83,"&gt;0")</f>
        <v>0</v>
      </c>
      <c r="C84" s="60">
        <f t="shared" si="14"/>
        <v>0</v>
      </c>
      <c r="D84" s="60">
        <f t="shared" si="14"/>
        <v>0</v>
      </c>
      <c r="E84" s="60">
        <f>SUMIF(E73:E83,"&gt;0")</f>
        <v>0</v>
      </c>
      <c r="F84" s="60">
        <f t="shared" si="14"/>
        <v>0</v>
      </c>
      <c r="G84" s="60">
        <f t="shared" si="14"/>
        <v>0</v>
      </c>
      <c r="H84" s="60">
        <f>SUMIF(H73:H83,"&gt;0")</f>
        <v>0</v>
      </c>
      <c r="I84" s="60">
        <f t="shared" si="14"/>
        <v>0</v>
      </c>
      <c r="J84" s="60">
        <f>SUMIF(J73:J83,"&gt;0")</f>
        <v>0</v>
      </c>
      <c r="K84" s="60">
        <f>SUMIF(K73:K83,"&gt;0")</f>
        <v>0</v>
      </c>
      <c r="L84" s="60">
        <f t="shared" si="14"/>
        <v>0</v>
      </c>
      <c r="M84" s="60">
        <f t="shared" si="14"/>
        <v>0</v>
      </c>
      <c r="N84" s="60">
        <f t="shared" si="14"/>
        <v>0</v>
      </c>
      <c r="O84" s="60">
        <f t="shared" si="14"/>
        <v>0</v>
      </c>
      <c r="P84" s="60">
        <f t="shared" si="14"/>
        <v>0</v>
      </c>
      <c r="Q84" s="60">
        <f t="shared" si="14"/>
        <v>0</v>
      </c>
      <c r="R84" s="60">
        <f t="shared" si="14"/>
        <v>0</v>
      </c>
      <c r="S84" s="60">
        <f t="shared" si="14"/>
        <v>0</v>
      </c>
      <c r="T84" s="60">
        <f t="shared" ref="T84:AA84" si="15">SUMIF(T73:T83,"&gt;0")</f>
        <v>0</v>
      </c>
      <c r="U84" s="60">
        <f t="shared" si="15"/>
        <v>0</v>
      </c>
      <c r="V84" s="60">
        <f t="shared" si="15"/>
        <v>0</v>
      </c>
      <c r="W84" s="60">
        <f t="shared" si="15"/>
        <v>0</v>
      </c>
      <c r="X84" s="60">
        <f t="shared" si="15"/>
        <v>0</v>
      </c>
      <c r="Y84" s="60">
        <f t="shared" si="15"/>
        <v>0</v>
      </c>
      <c r="Z84" s="60">
        <f t="shared" si="15"/>
        <v>0</v>
      </c>
      <c r="AA84" s="60">
        <f t="shared" si="15"/>
        <v>0</v>
      </c>
      <c r="AB84" s="60">
        <f t="shared" si="14"/>
        <v>0</v>
      </c>
      <c r="AC84" s="60">
        <f t="shared" si="14"/>
        <v>0</v>
      </c>
      <c r="AD84" s="60">
        <f t="shared" si="14"/>
        <v>0</v>
      </c>
      <c r="AE84" s="60">
        <f t="shared" si="14"/>
        <v>0</v>
      </c>
      <c r="AF84" s="60">
        <f t="shared" si="14"/>
        <v>0</v>
      </c>
      <c r="AG84" s="87">
        <f>SUM(AG73:AG83)</f>
        <v>0</v>
      </c>
      <c r="AH84" s="47">
        <f t="shared" si="12"/>
        <v>0</v>
      </c>
      <c r="AI84" s="48">
        <f t="shared" si="13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2"/>
        <v>0</v>
      </c>
      <c r="AI85" s="48">
        <f t="shared" si="13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2"/>
        <v>0</v>
      </c>
      <c r="AI86" s="48">
        <f t="shared" si="13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2"/>
        <v>0</v>
      </c>
      <c r="AI87" s="48">
        <f t="shared" si="13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2"/>
        <v>0</v>
      </c>
      <c r="AI88" s="48">
        <f t="shared" si="13"/>
        <v>0</v>
      </c>
    </row>
    <row r="89" spans="1:40" ht="15.75" thickBot="1" x14ac:dyDescent="0.3">
      <c r="A89" s="73" t="s">
        <v>100</v>
      </c>
      <c r="B89" s="94">
        <f t="shared" ref="B89:AG89" si="16">B50+B54+B72+B68+B84+B88</f>
        <v>1927.8999999999996</v>
      </c>
      <c r="C89" s="94">
        <f t="shared" si="16"/>
        <v>1950.3</v>
      </c>
      <c r="D89" s="94">
        <f t="shared" si="16"/>
        <v>1926.8</v>
      </c>
      <c r="E89" s="94">
        <f>E50+E54+E72+E68+E84+E88</f>
        <v>1917.3</v>
      </c>
      <c r="F89" s="94">
        <f t="shared" si="16"/>
        <v>1917.3</v>
      </c>
      <c r="G89" s="94">
        <f t="shared" si="16"/>
        <v>1917.3</v>
      </c>
      <c r="H89" s="94">
        <f>H50+H54+H72+H68+H84+H88</f>
        <v>1918.3</v>
      </c>
      <c r="I89" s="94">
        <f t="shared" si="16"/>
        <v>1917.3</v>
      </c>
      <c r="J89" s="94">
        <f>J50+J54+J72+J68+J84+J88</f>
        <v>1940.3</v>
      </c>
      <c r="K89" s="94">
        <f>K50+K54+K72+K68+K84+K88</f>
        <v>1949.3</v>
      </c>
      <c r="L89" s="94">
        <f t="shared" si="16"/>
        <v>1953.3</v>
      </c>
      <c r="M89" s="94">
        <f t="shared" si="16"/>
        <v>1726.1</v>
      </c>
      <c r="N89" s="94">
        <f t="shared" si="16"/>
        <v>1997.6</v>
      </c>
      <c r="O89" s="94">
        <f t="shared" si="16"/>
        <v>2072.3999999999996</v>
      </c>
      <c r="P89" s="94">
        <f t="shared" si="16"/>
        <v>2100.6</v>
      </c>
      <c r="Q89" s="94">
        <f t="shared" si="16"/>
        <v>2073.9</v>
      </c>
      <c r="R89" s="94">
        <f t="shared" si="16"/>
        <v>2057.9</v>
      </c>
      <c r="S89" s="94">
        <f t="shared" si="16"/>
        <v>2029.1999999999998</v>
      </c>
      <c r="T89" s="94">
        <f t="shared" ref="T89:AA89" si="17">T50+T54+T72+T68+T84+T88</f>
        <v>2020.9999999999998</v>
      </c>
      <c r="U89" s="94">
        <f t="shared" si="17"/>
        <v>2037.1</v>
      </c>
      <c r="V89" s="94">
        <f t="shared" si="17"/>
        <v>2039.6999999999998</v>
      </c>
      <c r="W89" s="94">
        <f t="shared" si="17"/>
        <v>2034.5</v>
      </c>
      <c r="X89" s="94">
        <f t="shared" si="17"/>
        <v>2044.2999999999997</v>
      </c>
      <c r="Y89" s="94">
        <f t="shared" si="17"/>
        <v>2044.2999999999997</v>
      </c>
      <c r="Z89" s="94">
        <f t="shared" si="17"/>
        <v>2097.3000000000002</v>
      </c>
      <c r="AA89" s="94">
        <f t="shared" si="17"/>
        <v>2047.8999999999999</v>
      </c>
      <c r="AB89" s="94">
        <f t="shared" si="16"/>
        <v>2078.1</v>
      </c>
      <c r="AC89" s="94">
        <f t="shared" si="16"/>
        <v>2082.6</v>
      </c>
      <c r="AD89" s="94">
        <f t="shared" si="16"/>
        <v>2054.8999999999996</v>
      </c>
      <c r="AE89" s="94">
        <f t="shared" si="16"/>
        <v>2031.7999999999997</v>
      </c>
      <c r="AF89" s="94">
        <f t="shared" si="16"/>
        <v>3.54</v>
      </c>
      <c r="AG89" s="61">
        <f t="shared" si="16"/>
        <v>2111.5500000000002</v>
      </c>
      <c r="AH89" s="47">
        <f t="shared" si="12"/>
        <v>2100.6</v>
      </c>
      <c r="AI89" s="48">
        <f t="shared" si="13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2"/>
        <v>0</v>
      </c>
      <c r="AI90" s="48">
        <f t="shared" si="13"/>
        <v>0</v>
      </c>
    </row>
    <row r="91" spans="1:40" ht="15.75" thickBot="1" x14ac:dyDescent="0.3">
      <c r="A91" s="73" t="s">
        <v>102</v>
      </c>
      <c r="B91" s="94">
        <f t="shared" ref="B91:AF91" si="18">B89+B90</f>
        <v>1927.8999999999996</v>
      </c>
      <c r="C91" s="94">
        <f t="shared" si="18"/>
        <v>1950.3</v>
      </c>
      <c r="D91" s="94">
        <f t="shared" si="18"/>
        <v>1926.8</v>
      </c>
      <c r="E91" s="94">
        <f>E89+E90</f>
        <v>1917.3</v>
      </c>
      <c r="F91" s="94">
        <f t="shared" si="18"/>
        <v>1917.3</v>
      </c>
      <c r="G91" s="94">
        <f t="shared" si="18"/>
        <v>1917.3</v>
      </c>
      <c r="H91" s="94">
        <f>H89+H90</f>
        <v>1918.3</v>
      </c>
      <c r="I91" s="94">
        <f t="shared" si="18"/>
        <v>1917.3</v>
      </c>
      <c r="J91" s="94">
        <f>J89+J90</f>
        <v>1940.3</v>
      </c>
      <c r="K91" s="94">
        <f>K89+K90</f>
        <v>1949.3</v>
      </c>
      <c r="L91" s="94">
        <f t="shared" si="18"/>
        <v>1953.3</v>
      </c>
      <c r="M91" s="94">
        <f t="shared" si="18"/>
        <v>1726.1</v>
      </c>
      <c r="N91" s="94">
        <f t="shared" si="18"/>
        <v>1997.6</v>
      </c>
      <c r="O91" s="94">
        <f t="shared" si="18"/>
        <v>2072.3999999999996</v>
      </c>
      <c r="P91" s="94">
        <f t="shared" si="18"/>
        <v>2100.6</v>
      </c>
      <c r="Q91" s="94">
        <f t="shared" si="18"/>
        <v>2073.9</v>
      </c>
      <c r="R91" s="94">
        <f t="shared" si="18"/>
        <v>2057.9</v>
      </c>
      <c r="S91" s="94">
        <f t="shared" si="18"/>
        <v>2029.1999999999998</v>
      </c>
      <c r="T91" s="94">
        <f t="shared" ref="T91:AA91" si="19">T89+T90</f>
        <v>2020.9999999999998</v>
      </c>
      <c r="U91" s="94">
        <f t="shared" si="19"/>
        <v>2037.1</v>
      </c>
      <c r="V91" s="94">
        <f t="shared" si="19"/>
        <v>2039.6999999999998</v>
      </c>
      <c r="W91" s="94">
        <f t="shared" si="19"/>
        <v>2034.5</v>
      </c>
      <c r="X91" s="94">
        <f t="shared" si="19"/>
        <v>2044.2999999999997</v>
      </c>
      <c r="Y91" s="94">
        <f t="shared" si="19"/>
        <v>2044.2999999999997</v>
      </c>
      <c r="Z91" s="94">
        <f t="shared" si="19"/>
        <v>2097.3000000000002</v>
      </c>
      <c r="AA91" s="94">
        <f t="shared" si="19"/>
        <v>2047.8999999999999</v>
      </c>
      <c r="AB91" s="94">
        <f t="shared" si="18"/>
        <v>2078.1</v>
      </c>
      <c r="AC91" s="94">
        <f t="shared" si="18"/>
        <v>2082.6</v>
      </c>
      <c r="AD91" s="94">
        <f t="shared" si="18"/>
        <v>2054.8999999999996</v>
      </c>
      <c r="AE91" s="94">
        <f t="shared" si="18"/>
        <v>2031.7999999999997</v>
      </c>
      <c r="AF91" s="94">
        <f t="shared" si="18"/>
        <v>3.54</v>
      </c>
      <c r="AG91" s="87">
        <f>AG88+AG84+AG72+AG68+AG50+AG90</f>
        <v>1573.45</v>
      </c>
      <c r="AH91" s="47">
        <f t="shared" si="12"/>
        <v>2100.6</v>
      </c>
      <c r="AI91" s="48">
        <f t="shared" si="13"/>
        <v>3.54</v>
      </c>
    </row>
    <row r="92" spans="1:40" ht="15.75" thickBot="1" x14ac:dyDescent="0.3">
      <c r="A92" s="73" t="s">
        <v>103</v>
      </c>
      <c r="B92" s="94">
        <f>B91-(-B99)</f>
        <v>1501.8999999999996</v>
      </c>
      <c r="C92" s="94">
        <f t="shared" ref="C92:AF92" si="20">C91-(-C99)</f>
        <v>1474.3</v>
      </c>
      <c r="D92" s="94">
        <f t="shared" si="20"/>
        <v>1468.8</v>
      </c>
      <c r="E92" s="94">
        <f>E91-(-E99)</f>
        <v>1459.3</v>
      </c>
      <c r="F92" s="94">
        <f t="shared" si="20"/>
        <v>1917.3</v>
      </c>
      <c r="G92" s="94">
        <f t="shared" si="20"/>
        <v>1917.3</v>
      </c>
      <c r="H92" s="94">
        <f>H91-(-H99)</f>
        <v>1430.3</v>
      </c>
      <c r="I92" s="94">
        <f t="shared" si="20"/>
        <v>1410.3</v>
      </c>
      <c r="J92" s="94">
        <f>J91-(-J99)</f>
        <v>1441.3</v>
      </c>
      <c r="K92" s="94">
        <f>K91-(-K99)</f>
        <v>1450.3</v>
      </c>
      <c r="L92" s="94">
        <f t="shared" si="20"/>
        <v>1523.3</v>
      </c>
      <c r="M92" s="94">
        <f t="shared" si="20"/>
        <v>1302.0999999999999</v>
      </c>
      <c r="N92" s="94">
        <f t="shared" si="20"/>
        <v>1590.3999999999999</v>
      </c>
      <c r="O92" s="94">
        <f t="shared" si="20"/>
        <v>1674.3999999999996</v>
      </c>
      <c r="P92" s="94">
        <f t="shared" si="20"/>
        <v>1733.8</v>
      </c>
      <c r="Q92" s="94">
        <f t="shared" si="20"/>
        <v>1719.9</v>
      </c>
      <c r="R92" s="94">
        <f t="shared" si="20"/>
        <v>1657.7</v>
      </c>
      <c r="S92" s="94">
        <f t="shared" si="20"/>
        <v>1628.1999999999998</v>
      </c>
      <c r="T92" s="94">
        <f t="shared" ref="T92:AA92" si="21">T91-(-T99)</f>
        <v>1645.1</v>
      </c>
      <c r="U92" s="94">
        <f t="shared" si="21"/>
        <v>1649.1999999999998</v>
      </c>
      <c r="V92" s="94">
        <f t="shared" si="21"/>
        <v>1554.3999999999999</v>
      </c>
      <c r="W92" s="94">
        <f t="shared" si="21"/>
        <v>1561.7</v>
      </c>
      <c r="X92" s="94">
        <f t="shared" si="21"/>
        <v>1621.2999999999997</v>
      </c>
      <c r="Y92" s="94">
        <f t="shared" si="21"/>
        <v>1722.4999999999998</v>
      </c>
      <c r="Z92" s="94">
        <f t="shared" si="21"/>
        <v>1739.3000000000002</v>
      </c>
      <c r="AA92" s="94">
        <f t="shared" si="21"/>
        <v>1673.1999999999998</v>
      </c>
      <c r="AB92" s="94">
        <f t="shared" si="20"/>
        <v>1740.6</v>
      </c>
      <c r="AC92" s="94">
        <f t="shared" si="20"/>
        <v>1734.8</v>
      </c>
      <c r="AD92" s="94">
        <f t="shared" si="20"/>
        <v>1697.6999999999996</v>
      </c>
      <c r="AE92" s="94">
        <f t="shared" si="20"/>
        <v>1686.2999999999997</v>
      </c>
      <c r="AF92" s="94">
        <f t="shared" si="20"/>
        <v>3.54</v>
      </c>
      <c r="AG92" s="87"/>
      <c r="AH92" s="47">
        <f t="shared" si="12"/>
        <v>1917.3</v>
      </c>
      <c r="AI92" s="48">
        <f t="shared" si="13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2"/>
        <v>0</v>
      </c>
      <c r="AI93" s="48">
        <f t="shared" si="13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2"/>
        <v>0</v>
      </c>
      <c r="AI94" s="48">
        <f t="shared" si="13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2"/>
        <v>0</v>
      </c>
      <c r="AI95" s="48">
        <f t="shared" si="13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2"/>
        <v>0</v>
      </c>
      <c r="AI96" s="48">
        <f t="shared" si="13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2"/>
        <v>0</v>
      </c>
      <c r="AI97" s="48">
        <f t="shared" si="13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2"/>
        <v>0</v>
      </c>
      <c r="AI98" s="48">
        <f t="shared" si="13"/>
        <v>0</v>
      </c>
    </row>
    <row r="99" spans="1:37" ht="15.75" thickBot="1" x14ac:dyDescent="0.3">
      <c r="A99" s="98" t="s">
        <v>107</v>
      </c>
      <c r="B99" s="60">
        <f>B75</f>
        <v>-426</v>
      </c>
      <c r="C99" s="60">
        <f t="shared" ref="C99:AF99" si="22">C75</f>
        <v>-476</v>
      </c>
      <c r="D99" s="60">
        <f t="shared" si="22"/>
        <v>-458</v>
      </c>
      <c r="E99" s="60">
        <f>E75</f>
        <v>-458</v>
      </c>
      <c r="F99" s="60">
        <f t="shared" si="22"/>
        <v>0</v>
      </c>
      <c r="G99" s="60">
        <f t="shared" si="22"/>
        <v>0</v>
      </c>
      <c r="H99" s="60">
        <f>H75</f>
        <v>-488</v>
      </c>
      <c r="I99" s="60">
        <f t="shared" si="22"/>
        <v>-507</v>
      </c>
      <c r="J99" s="60">
        <f>J75</f>
        <v>-499</v>
      </c>
      <c r="K99" s="60">
        <f>K75</f>
        <v>-499</v>
      </c>
      <c r="L99" s="60">
        <f t="shared" si="22"/>
        <v>-430</v>
      </c>
      <c r="M99" s="60">
        <f t="shared" si="22"/>
        <v>-424</v>
      </c>
      <c r="N99" s="60">
        <f t="shared" si="22"/>
        <v>-407.2</v>
      </c>
      <c r="O99" s="60">
        <f t="shared" si="22"/>
        <v>-398</v>
      </c>
      <c r="P99" s="60">
        <f t="shared" si="22"/>
        <v>-366.8</v>
      </c>
      <c r="Q99" s="60">
        <f t="shared" si="22"/>
        <v>-354</v>
      </c>
      <c r="R99" s="60">
        <f t="shared" si="22"/>
        <v>-400.2</v>
      </c>
      <c r="S99" s="60">
        <f t="shared" si="22"/>
        <v>-401</v>
      </c>
      <c r="T99" s="60">
        <f t="shared" ref="T99:AA99" si="23">T75</f>
        <v>-375.9</v>
      </c>
      <c r="U99" s="60">
        <f t="shared" si="23"/>
        <v>-387.9</v>
      </c>
      <c r="V99" s="60">
        <f t="shared" si="23"/>
        <v>-485.3</v>
      </c>
      <c r="W99" s="60">
        <f t="shared" si="23"/>
        <v>-472.8</v>
      </c>
      <c r="X99" s="60">
        <f t="shared" si="23"/>
        <v>-423</v>
      </c>
      <c r="Y99" s="60">
        <f t="shared" si="23"/>
        <v>-321.8</v>
      </c>
      <c r="Z99" s="60">
        <f t="shared" si="23"/>
        <v>-358</v>
      </c>
      <c r="AA99" s="60">
        <f t="shared" si="23"/>
        <v>-374.7</v>
      </c>
      <c r="AB99" s="60">
        <f t="shared" si="22"/>
        <v>-337.5</v>
      </c>
      <c r="AC99" s="60">
        <f t="shared" si="22"/>
        <v>-347.8</v>
      </c>
      <c r="AD99" s="60">
        <f t="shared" si="22"/>
        <v>-357.2</v>
      </c>
      <c r="AE99" s="60">
        <f t="shared" si="22"/>
        <v>-345.5</v>
      </c>
      <c r="AF99" s="60">
        <f t="shared" si="22"/>
        <v>0</v>
      </c>
      <c r="AG99" s="87"/>
      <c r="AH99" s="47">
        <f t="shared" si="12"/>
        <v>0</v>
      </c>
      <c r="AI99" s="48">
        <f t="shared" si="13"/>
        <v>-507</v>
      </c>
      <c r="AK99" s="50"/>
    </row>
    <row r="100" spans="1:37" ht="15.75" thickBot="1" x14ac:dyDescent="0.3">
      <c r="A100" s="73" t="s">
        <v>108</v>
      </c>
      <c r="B100" s="60">
        <f t="shared" ref="B100:AF100" si="24">B84-B99</f>
        <v>426</v>
      </c>
      <c r="C100" s="60">
        <f t="shared" si="24"/>
        <v>476</v>
      </c>
      <c r="D100" s="60">
        <f t="shared" si="24"/>
        <v>458</v>
      </c>
      <c r="E100" s="60">
        <f>E84-E99</f>
        <v>458</v>
      </c>
      <c r="F100" s="60">
        <f t="shared" si="24"/>
        <v>0</v>
      </c>
      <c r="G100" s="60">
        <f t="shared" si="24"/>
        <v>0</v>
      </c>
      <c r="H100" s="60">
        <f>H84-H99</f>
        <v>488</v>
      </c>
      <c r="I100" s="60">
        <f t="shared" si="24"/>
        <v>507</v>
      </c>
      <c r="J100" s="60">
        <f>J84-J99</f>
        <v>499</v>
      </c>
      <c r="K100" s="60">
        <f>K84-K99</f>
        <v>499</v>
      </c>
      <c r="L100" s="60">
        <f t="shared" si="24"/>
        <v>430</v>
      </c>
      <c r="M100" s="60">
        <f t="shared" si="24"/>
        <v>424</v>
      </c>
      <c r="N100" s="60">
        <f t="shared" si="24"/>
        <v>407.2</v>
      </c>
      <c r="O100" s="60">
        <f t="shared" si="24"/>
        <v>398</v>
      </c>
      <c r="P100" s="60">
        <f t="shared" si="24"/>
        <v>366.8</v>
      </c>
      <c r="Q100" s="60">
        <f t="shared" si="24"/>
        <v>354</v>
      </c>
      <c r="R100" s="60">
        <f t="shared" si="24"/>
        <v>400.2</v>
      </c>
      <c r="S100" s="60">
        <f t="shared" si="24"/>
        <v>401</v>
      </c>
      <c r="T100" s="60">
        <f t="shared" ref="T100:AA100" si="25">T84-T99</f>
        <v>375.9</v>
      </c>
      <c r="U100" s="60">
        <f t="shared" si="25"/>
        <v>387.9</v>
      </c>
      <c r="V100" s="60">
        <f t="shared" si="25"/>
        <v>485.3</v>
      </c>
      <c r="W100" s="60">
        <f t="shared" si="25"/>
        <v>472.8</v>
      </c>
      <c r="X100" s="60">
        <f t="shared" si="25"/>
        <v>423</v>
      </c>
      <c r="Y100" s="60">
        <f t="shared" si="25"/>
        <v>321.8</v>
      </c>
      <c r="Z100" s="60">
        <f t="shared" si="25"/>
        <v>358</v>
      </c>
      <c r="AA100" s="60">
        <f t="shared" si="25"/>
        <v>374.7</v>
      </c>
      <c r="AB100" s="60">
        <f t="shared" si="24"/>
        <v>337.5</v>
      </c>
      <c r="AC100" s="60">
        <f t="shared" si="24"/>
        <v>347.8</v>
      </c>
      <c r="AD100" s="60">
        <f t="shared" si="24"/>
        <v>357.2</v>
      </c>
      <c r="AE100" s="60">
        <f t="shared" si="24"/>
        <v>345.5</v>
      </c>
      <c r="AF100" s="60">
        <f t="shared" si="24"/>
        <v>0</v>
      </c>
      <c r="AG100" s="87"/>
      <c r="AH100" s="47">
        <f t="shared" si="12"/>
        <v>507</v>
      </c>
      <c r="AI100" s="48">
        <f t="shared" si="13"/>
        <v>0</v>
      </c>
    </row>
    <row r="101" spans="1:37" x14ac:dyDescent="0.25">
      <c r="A101" s="99" t="s">
        <v>109</v>
      </c>
      <c r="B101" s="100">
        <v>50.088999999999999</v>
      </c>
      <c r="C101" s="100">
        <v>49.999000000000002</v>
      </c>
      <c r="D101" s="100">
        <v>50.021000000000001</v>
      </c>
      <c r="E101" s="100">
        <v>49.991999999999997</v>
      </c>
      <c r="F101" s="100"/>
      <c r="G101" s="100">
        <v>49.927</v>
      </c>
      <c r="H101" s="100">
        <v>49.927</v>
      </c>
      <c r="I101" s="100">
        <v>50.082000000000001</v>
      </c>
      <c r="J101" s="100">
        <v>49.973999999999997</v>
      </c>
      <c r="K101" s="100">
        <v>50.036999999999999</v>
      </c>
      <c r="L101" s="100"/>
      <c r="M101" s="100">
        <v>49.893000000000001</v>
      </c>
      <c r="N101" s="100">
        <v>49.98</v>
      </c>
      <c r="O101" s="100">
        <v>50.005000000000003</v>
      </c>
      <c r="P101" s="100">
        <v>50.002000000000002</v>
      </c>
      <c r="Q101" s="100">
        <v>49.993000000000002</v>
      </c>
      <c r="R101" s="100">
        <v>49.954999999999998</v>
      </c>
      <c r="S101" s="100">
        <v>50.127000000000002</v>
      </c>
      <c r="T101" s="100">
        <v>50.02</v>
      </c>
      <c r="U101" s="100">
        <v>49.88</v>
      </c>
      <c r="V101" s="100">
        <v>50</v>
      </c>
      <c r="W101" s="100">
        <v>49.963000000000001</v>
      </c>
      <c r="X101" s="100">
        <v>49.93</v>
      </c>
      <c r="Y101" s="100">
        <v>49.95</v>
      </c>
      <c r="Z101" s="100">
        <v>50.036000000000001</v>
      </c>
      <c r="AA101" s="100">
        <v>50.02</v>
      </c>
      <c r="AB101" s="100">
        <v>50.082999999999998</v>
      </c>
      <c r="AC101" s="100">
        <v>50.045000000000002</v>
      </c>
      <c r="AD101" s="100">
        <v>50.012</v>
      </c>
      <c r="AE101" s="100">
        <v>50.064999999999998</v>
      </c>
      <c r="AF101" s="100"/>
      <c r="AG101" s="101"/>
      <c r="AH101" s="47">
        <f t="shared" si="12"/>
        <v>50.127000000000002</v>
      </c>
      <c r="AI101" s="48">
        <f t="shared" si="13"/>
        <v>49.88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2"/>
        <v>0</v>
      </c>
      <c r="AI102" s="48">
        <f t="shared" si="13"/>
        <v>0</v>
      </c>
    </row>
    <row r="103" spans="1:37" x14ac:dyDescent="0.25">
      <c r="A103" s="102" t="s">
        <v>111</v>
      </c>
      <c r="B103" s="64">
        <v>129.1</v>
      </c>
      <c r="C103" s="64">
        <v>129.1</v>
      </c>
      <c r="D103" s="64">
        <v>131</v>
      </c>
      <c r="E103" s="64">
        <v>131.19999999999999</v>
      </c>
      <c r="F103" s="64"/>
      <c r="G103" s="64">
        <v>130.69999999999999</v>
      </c>
      <c r="H103" s="64">
        <v>130.69999999999999</v>
      </c>
      <c r="I103" s="64">
        <v>129.9</v>
      </c>
      <c r="J103" s="64">
        <v>129.1</v>
      </c>
      <c r="K103" s="64">
        <v>127.8</v>
      </c>
      <c r="L103" s="64"/>
      <c r="M103" s="64">
        <v>127.8</v>
      </c>
      <c r="N103" s="64">
        <v>125.7</v>
      </c>
      <c r="O103" s="64">
        <v>125.9</v>
      </c>
      <c r="P103" s="64">
        <v>125.3</v>
      </c>
      <c r="Q103" s="64">
        <v>124.5</v>
      </c>
      <c r="R103" s="64">
        <v>126.7</v>
      </c>
      <c r="S103" s="64">
        <v>125.6</v>
      </c>
      <c r="T103" s="64">
        <v>126</v>
      </c>
      <c r="U103" s="64">
        <v>125.6</v>
      </c>
      <c r="V103" s="64">
        <v>125.6</v>
      </c>
      <c r="W103" s="64">
        <v>125.6</v>
      </c>
      <c r="X103" s="64">
        <v>126.1</v>
      </c>
      <c r="Y103" s="64">
        <v>124.4</v>
      </c>
      <c r="Z103" s="64">
        <v>123.9</v>
      </c>
      <c r="AA103" s="64">
        <v>127.4</v>
      </c>
      <c r="AB103" s="64">
        <v>126.3</v>
      </c>
      <c r="AC103" s="64">
        <v>126.9</v>
      </c>
      <c r="AD103" s="64">
        <v>127.5</v>
      </c>
      <c r="AE103" s="64">
        <v>127.7</v>
      </c>
      <c r="AF103" s="64"/>
      <c r="AG103" s="103"/>
      <c r="AH103" s="47">
        <f t="shared" si="12"/>
        <v>131.19999999999999</v>
      </c>
      <c r="AI103" s="48">
        <f t="shared" si="13"/>
        <v>123.9</v>
      </c>
    </row>
    <row r="104" spans="1:37" x14ac:dyDescent="0.25">
      <c r="A104" s="102" t="s">
        <v>112</v>
      </c>
      <c r="B104" s="64">
        <v>131.1</v>
      </c>
      <c r="C104" s="64">
        <v>131.6</v>
      </c>
      <c r="D104" s="64">
        <v>133.1</v>
      </c>
      <c r="E104" s="64">
        <v>133.4</v>
      </c>
      <c r="F104" s="64"/>
      <c r="G104" s="64">
        <v>133</v>
      </c>
      <c r="H104" s="64">
        <v>133</v>
      </c>
      <c r="I104" s="64">
        <v>131.1</v>
      </c>
      <c r="J104" s="64">
        <v>129.5</v>
      </c>
      <c r="K104" s="64">
        <v>128.80000000000001</v>
      </c>
      <c r="L104" s="64"/>
      <c r="M104" s="64">
        <v>127.8</v>
      </c>
      <c r="N104" s="64">
        <v>127.5</v>
      </c>
      <c r="O104" s="64">
        <v>128.9</v>
      </c>
      <c r="P104" s="64">
        <v>122.7</v>
      </c>
      <c r="Q104" s="64">
        <v>129.19999999999999</v>
      </c>
      <c r="R104" s="64">
        <v>129.19999999999999</v>
      </c>
      <c r="S104" s="64">
        <v>128.80000000000001</v>
      </c>
      <c r="T104" s="64">
        <v>127.6</v>
      </c>
      <c r="U104" s="64">
        <v>127.6</v>
      </c>
      <c r="V104" s="64">
        <v>127.6</v>
      </c>
      <c r="W104" s="64">
        <v>127.6</v>
      </c>
      <c r="X104" s="64">
        <v>127.1</v>
      </c>
      <c r="Y104" s="64">
        <v>127.9</v>
      </c>
      <c r="Z104" s="64">
        <v>128.5</v>
      </c>
      <c r="AA104" s="64">
        <v>128.5</v>
      </c>
      <c r="AB104" s="64">
        <v>127.8</v>
      </c>
      <c r="AC104" s="64">
        <v>126.6</v>
      </c>
      <c r="AD104" s="64">
        <v>126.8</v>
      </c>
      <c r="AE104" s="64">
        <v>129</v>
      </c>
      <c r="AF104" s="64"/>
      <c r="AG104" s="103"/>
      <c r="AH104" s="47">
        <f t="shared" si="12"/>
        <v>133.4</v>
      </c>
      <c r="AI104" s="48">
        <f t="shared" si="13"/>
        <v>122.7</v>
      </c>
    </row>
    <row r="105" spans="1:37" x14ac:dyDescent="0.25">
      <c r="A105" s="104" t="s">
        <v>113</v>
      </c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103"/>
      <c r="AH105" s="47">
        <f t="shared" si="12"/>
        <v>0</v>
      </c>
      <c r="AI105" s="48">
        <f t="shared" si="13"/>
        <v>0</v>
      </c>
    </row>
    <row r="106" spans="1:37" x14ac:dyDescent="0.25">
      <c r="A106" s="104" t="s">
        <v>114</v>
      </c>
      <c r="B106" s="105">
        <v>134.6</v>
      </c>
      <c r="C106" s="105">
        <v>128.19999999999999</v>
      </c>
      <c r="D106" s="105">
        <v>133.6</v>
      </c>
      <c r="E106" s="105">
        <v>132.5</v>
      </c>
      <c r="F106" s="105"/>
      <c r="G106" s="105">
        <v>133.6</v>
      </c>
      <c r="H106" s="105">
        <v>133.6</v>
      </c>
      <c r="I106" s="105">
        <v>133.69999999999999</v>
      </c>
      <c r="J106" s="105">
        <v>132.30000000000001</v>
      </c>
      <c r="K106" s="105">
        <v>131.9</v>
      </c>
      <c r="L106" s="105"/>
      <c r="M106" s="105">
        <v>132</v>
      </c>
      <c r="N106" s="105">
        <v>135.19999999999999</v>
      </c>
      <c r="O106" s="105">
        <v>134.5</v>
      </c>
      <c r="P106" s="105">
        <v>129</v>
      </c>
      <c r="Q106" s="105">
        <v>135</v>
      </c>
      <c r="R106" s="105">
        <v>129.6</v>
      </c>
      <c r="S106" s="105">
        <v>135.69999999999999</v>
      </c>
      <c r="T106" s="105">
        <v>135.69999999999999</v>
      </c>
      <c r="U106" s="105">
        <v>131.5</v>
      </c>
      <c r="V106" s="105">
        <v>131.5</v>
      </c>
      <c r="W106" s="105">
        <v>131.5</v>
      </c>
      <c r="X106" s="105">
        <v>133.30000000000001</v>
      </c>
      <c r="Y106" s="105">
        <v>132.69999999999999</v>
      </c>
      <c r="Z106" s="105">
        <v>131.80000000000001</v>
      </c>
      <c r="AA106" s="105">
        <v>134.80000000000001</v>
      </c>
      <c r="AB106" s="105">
        <v>130.4</v>
      </c>
      <c r="AC106" s="105">
        <v>134.30000000000001</v>
      </c>
      <c r="AD106" s="105">
        <v>132.30000000000001</v>
      </c>
      <c r="AE106" s="105">
        <v>134</v>
      </c>
      <c r="AF106" s="105"/>
      <c r="AG106" s="106"/>
      <c r="AH106" s="47">
        <f t="shared" si="12"/>
        <v>135.69999999999999</v>
      </c>
      <c r="AI106" s="48">
        <f t="shared" si="13"/>
        <v>128.19999999999999</v>
      </c>
    </row>
    <row r="107" spans="1:37" x14ac:dyDescent="0.25">
      <c r="A107" s="102" t="s">
        <v>115</v>
      </c>
      <c r="B107" s="64">
        <v>137</v>
      </c>
      <c r="C107" s="64">
        <v>125.1</v>
      </c>
      <c r="D107" s="64">
        <v>132.9</v>
      </c>
      <c r="E107" s="64">
        <v>130.5</v>
      </c>
      <c r="F107" s="64"/>
      <c r="G107" s="64">
        <v>132.4</v>
      </c>
      <c r="H107" s="64">
        <v>132.4</v>
      </c>
      <c r="I107" s="64">
        <v>133.30000000000001</v>
      </c>
      <c r="J107" s="64">
        <v>131.30000000000001</v>
      </c>
      <c r="K107" s="64">
        <v>133.4</v>
      </c>
      <c r="L107" s="64"/>
      <c r="M107" s="64">
        <v>133</v>
      </c>
      <c r="N107" s="64">
        <v>133</v>
      </c>
      <c r="O107" s="64">
        <v>135.19999999999999</v>
      </c>
      <c r="P107" s="64">
        <v>125.3</v>
      </c>
      <c r="Q107" s="64">
        <v>133</v>
      </c>
      <c r="R107" s="64">
        <v>131.6</v>
      </c>
      <c r="S107" s="64">
        <v>131.80000000000001</v>
      </c>
      <c r="T107" s="64">
        <v>131.80000000000001</v>
      </c>
      <c r="U107" s="64">
        <v>127.2</v>
      </c>
      <c r="V107" s="64">
        <v>127.2</v>
      </c>
      <c r="W107" s="64">
        <v>127.2</v>
      </c>
      <c r="X107" s="64">
        <v>128.1</v>
      </c>
      <c r="Y107" s="64">
        <v>129.6</v>
      </c>
      <c r="Z107" s="64">
        <v>128.4</v>
      </c>
      <c r="AA107" s="64">
        <v>134.80000000000001</v>
      </c>
      <c r="AB107" s="64">
        <v>127.7</v>
      </c>
      <c r="AC107" s="64">
        <v>133.19999999999999</v>
      </c>
      <c r="AD107" s="64">
        <v>130</v>
      </c>
      <c r="AE107" s="64">
        <v>132.6</v>
      </c>
      <c r="AF107" s="64"/>
      <c r="AG107" s="103"/>
      <c r="AH107" s="47">
        <f t="shared" si="12"/>
        <v>137</v>
      </c>
      <c r="AI107" s="48">
        <f t="shared" si="13"/>
        <v>125.1</v>
      </c>
    </row>
    <row r="108" spans="1:37" ht="15.75" thickBot="1" x14ac:dyDescent="0.3">
      <c r="A108" s="102" t="s">
        <v>116</v>
      </c>
      <c r="B108" s="91">
        <v>65.400000000000006</v>
      </c>
      <c r="C108" s="91">
        <v>65</v>
      </c>
      <c r="D108" s="91">
        <v>65.8</v>
      </c>
      <c r="E108" s="91">
        <v>65.8</v>
      </c>
      <c r="F108" s="91"/>
      <c r="G108" s="91">
        <v>65.599999999999994</v>
      </c>
      <c r="H108" s="91">
        <v>65.599999999999994</v>
      </c>
      <c r="I108" s="91">
        <v>65.099999999999994</v>
      </c>
      <c r="J108" s="91">
        <v>64.8</v>
      </c>
      <c r="K108" s="91">
        <v>64.3</v>
      </c>
      <c r="L108" s="91"/>
      <c r="M108" s="91">
        <v>65</v>
      </c>
      <c r="N108" s="91">
        <v>62.6</v>
      </c>
      <c r="O108" s="91">
        <v>63.2</v>
      </c>
      <c r="P108" s="91">
        <v>63</v>
      </c>
      <c r="Q108" s="91">
        <v>62.5</v>
      </c>
      <c r="R108" s="91">
        <v>63.2</v>
      </c>
      <c r="S108" s="91">
        <v>62.9</v>
      </c>
      <c r="T108" s="91">
        <v>62.9</v>
      </c>
      <c r="U108" s="91">
        <v>62.8</v>
      </c>
      <c r="V108" s="91">
        <v>62.8</v>
      </c>
      <c r="W108" s="91">
        <v>62.8</v>
      </c>
      <c r="X108" s="91">
        <v>63.3</v>
      </c>
      <c r="Y108" s="91">
        <v>63.3</v>
      </c>
      <c r="Z108" s="91">
        <v>62.3</v>
      </c>
      <c r="AA108" s="91">
        <v>63.9</v>
      </c>
      <c r="AB108" s="91">
        <v>63.7</v>
      </c>
      <c r="AC108" s="91">
        <v>63.8</v>
      </c>
      <c r="AD108" s="91">
        <v>64.5</v>
      </c>
      <c r="AE108" s="91">
        <v>64.2</v>
      </c>
      <c r="AF108" s="91"/>
      <c r="AG108" s="107"/>
      <c r="AH108" s="47">
        <f t="shared" si="12"/>
        <v>65.8</v>
      </c>
      <c r="AI108" s="48">
        <f t="shared" si="13"/>
        <v>62.3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2"/>
        <v>0</v>
      </c>
      <c r="AI109" s="48">
        <f t="shared" si="13"/>
        <v>0</v>
      </c>
    </row>
    <row r="110" spans="1:37" ht="15.75" thickBot="1" x14ac:dyDescent="0.3">
      <c r="A110" s="109" t="s">
        <v>118</v>
      </c>
      <c r="B110" s="110">
        <f t="shared" ref="B110:O110" si="26">SUM(B20,B26,B29:B30,B58,B60:B61,B63,B65,B111:B115,B138,B144,B150,B159,B161,B173,B180,B183:B184,B191,B193,B195,B199:B201,B203:B205,B210,B216:B217,B219:B221,B229,B234)</f>
        <v>67.899999999999977</v>
      </c>
      <c r="C110" s="110">
        <f t="shared" si="26"/>
        <v>40.139999999999986</v>
      </c>
      <c r="D110" s="110">
        <f t="shared" si="26"/>
        <v>31.239999999999974</v>
      </c>
      <c r="E110" s="110">
        <f>SUM(E20,E26,E29:E30,E58,E60:E61,E63,E65,E111:E115,E138,E144,E150,E159,E161,E173,E180,E183:E184,E191,E193,E195,E199:E201,E203:E205,E210,E216:E217,E219:E221,E229,E234)</f>
        <v>37.739999999999988</v>
      </c>
      <c r="F110" s="110">
        <f t="shared" si="26"/>
        <v>152.83999999999997</v>
      </c>
      <c r="G110" s="110">
        <f t="shared" si="26"/>
        <v>52.439999999999991</v>
      </c>
      <c r="H110" s="110">
        <f>SUM(H20,H26,H29:H30,H58,H60:H61,H63,H65,H111:H115,H138,H144,H150,H159,H161,H173,H180,H183:H184,H191,H193,H195,H199:H201,H203:H205,H210,H216:H217,H219:H221,H229,H234)</f>
        <v>77.439999999999969</v>
      </c>
      <c r="I110" s="110">
        <f t="shared" si="26"/>
        <v>99.839999999999947</v>
      </c>
      <c r="J110" s="110">
        <f>SUM(J20,J26,J29:J30,J58,J60:J61,J63,J65,J111:J115,J138,J144,J150,J159,J161,J173,J180,J183:J184,J191,J193,J195,J199:J201,J203:J205,J210,J216:J217,J219:J221,J229,J234)</f>
        <v>139.23999999999998</v>
      </c>
      <c r="K110" s="110">
        <f>SUM(K20,K26,K29:K30,K58,K60:K61,K63,K65,K111:K115,K138,K144,K150,K159,K161,K173,K180,K183:K184,K191,K193,K195,K199:K201,K203:K205,K210,K216:K217,K219:K221,K229,K234)</f>
        <v>140.03999999999996</v>
      </c>
      <c r="L110" s="110">
        <f t="shared" si="26"/>
        <v>156.83999999999997</v>
      </c>
      <c r="M110" s="110">
        <f t="shared" si="26"/>
        <v>156.83999999999997</v>
      </c>
      <c r="N110" s="110">
        <f t="shared" si="26"/>
        <v>326.95</v>
      </c>
      <c r="O110" s="110">
        <f t="shared" si="26"/>
        <v>340.04</v>
      </c>
      <c r="P110" s="110">
        <v>42</v>
      </c>
      <c r="Q110" s="110">
        <f t="shared" ref="Q110:AC110" si="27">SUM(Q20,Q26,Q29:Q30,Q58,Q60:Q61,Q63,Q65,Q111:Q115,Q138,Q144,Q150,Q159,Q161,Q173,Q180,Q183:Q184,Q191,Q193,Q195,Q199:Q201,Q203:Q205,Q210,Q216:Q217,Q219:Q221,Q229,Q234)</f>
        <v>336.5</v>
      </c>
      <c r="R110" s="110">
        <f t="shared" si="27"/>
        <v>318.40000000000003</v>
      </c>
      <c r="S110" s="110">
        <f t="shared" si="27"/>
        <v>185.10000000000002</v>
      </c>
      <c r="T110" s="110">
        <f t="shared" si="27"/>
        <v>184.60000000000002</v>
      </c>
      <c r="U110" s="110">
        <f t="shared" si="27"/>
        <v>177.10000000000002</v>
      </c>
      <c r="V110" s="110">
        <f t="shared" si="27"/>
        <v>179.70000000000002</v>
      </c>
      <c r="W110" s="110">
        <f t="shared" si="27"/>
        <v>215.50000000000003</v>
      </c>
      <c r="X110" s="110">
        <f t="shared" si="27"/>
        <v>234.7</v>
      </c>
      <c r="Y110" s="110">
        <f t="shared" si="27"/>
        <v>253.89999999999998</v>
      </c>
      <c r="Z110" s="110">
        <f t="shared" si="27"/>
        <v>262.29999999999995</v>
      </c>
      <c r="AA110" s="110">
        <f t="shared" si="27"/>
        <v>201.89999999999998</v>
      </c>
      <c r="AB110" s="110">
        <f t="shared" si="27"/>
        <v>202.2</v>
      </c>
      <c r="AC110" s="110">
        <f t="shared" si="27"/>
        <v>159.60000000000002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92.899999999999977</v>
      </c>
      <c r="AF110" s="110">
        <f>SUM(AF20,AF26,AF29:AF30,AF58,AF60:AF61,AF63,AF65,AF111:AF115,AF138,AF144,AF150,AF159,AF161,AF173,AF180,AF183:AF184,AF191,AF193,AF195,AF199:AF201,AF203:AF205,AF210,AF216:AF217,AF219:AF221,AF229,AF234)</f>
        <v>0</v>
      </c>
      <c r="AG110" s="111"/>
      <c r="AH110" s="47">
        <f t="shared" si="12"/>
        <v>340.04</v>
      </c>
      <c r="AI110" s="48">
        <f t="shared" si="13"/>
        <v>0</v>
      </c>
    </row>
    <row r="111" spans="1:37" x14ac:dyDescent="0.25">
      <c r="A111" s="99" t="s">
        <v>119</v>
      </c>
      <c r="B111" s="112">
        <v>15.5</v>
      </c>
      <c r="C111" s="112">
        <v>12</v>
      </c>
      <c r="D111" s="112">
        <v>6.6</v>
      </c>
      <c r="E111" s="112">
        <v>5.4</v>
      </c>
      <c r="F111" s="112"/>
      <c r="G111" s="112">
        <v>13.9</v>
      </c>
      <c r="H111" s="112">
        <v>14.7</v>
      </c>
      <c r="I111" s="112">
        <v>19.7</v>
      </c>
      <c r="J111" s="112">
        <v>27</v>
      </c>
      <c r="K111" s="112">
        <v>38.299999999999997</v>
      </c>
      <c r="L111" s="112"/>
      <c r="M111" s="112"/>
      <c r="N111" s="112">
        <v>26.31</v>
      </c>
      <c r="O111" s="112">
        <v>23.2</v>
      </c>
      <c r="P111" s="112">
        <v>21.1</v>
      </c>
      <c r="Q111" s="112">
        <v>22.3</v>
      </c>
      <c r="R111" s="112">
        <v>22</v>
      </c>
      <c r="S111" s="112">
        <v>30.1</v>
      </c>
      <c r="T111" s="112">
        <v>30.1</v>
      </c>
      <c r="U111" s="112">
        <v>29.9</v>
      </c>
      <c r="V111" s="112">
        <v>29.9</v>
      </c>
      <c r="W111" s="112">
        <v>45.9</v>
      </c>
      <c r="X111" s="112">
        <v>44.7</v>
      </c>
      <c r="Y111" s="112">
        <v>46</v>
      </c>
      <c r="Z111" s="112">
        <v>50.6</v>
      </c>
      <c r="AA111" s="112">
        <v>43</v>
      </c>
      <c r="AB111" s="112">
        <v>34.4</v>
      </c>
      <c r="AC111" s="112">
        <v>34.9</v>
      </c>
      <c r="AD111" s="112">
        <v>30.4</v>
      </c>
      <c r="AE111" s="112">
        <v>29.9</v>
      </c>
      <c r="AF111" s="112"/>
      <c r="AG111" s="113">
        <v>75</v>
      </c>
      <c r="AH111" s="47">
        <f t="shared" si="12"/>
        <v>50.6</v>
      </c>
      <c r="AI111" s="48">
        <f t="shared" si="13"/>
        <v>5.4</v>
      </c>
    </row>
    <row r="112" spans="1:37" x14ac:dyDescent="0.25">
      <c r="A112" s="102" t="s">
        <v>120</v>
      </c>
      <c r="B112" s="114">
        <v>26.6</v>
      </c>
      <c r="C112" s="114">
        <v>20.3</v>
      </c>
      <c r="D112" s="114">
        <v>12</v>
      </c>
      <c r="E112" s="114">
        <v>11.4</v>
      </c>
      <c r="F112" s="114"/>
      <c r="G112" s="114">
        <v>21.8</v>
      </c>
      <c r="H112" s="114">
        <v>22.4</v>
      </c>
      <c r="I112" s="114">
        <v>28.2</v>
      </c>
      <c r="J112" s="114">
        <v>38.700000000000003</v>
      </c>
      <c r="K112" s="114">
        <v>49.7</v>
      </c>
      <c r="L112" s="114"/>
      <c r="M112" s="114"/>
      <c r="N112" s="114">
        <v>34.9</v>
      </c>
      <c r="O112" s="114">
        <v>30.2</v>
      </c>
      <c r="P112" s="114">
        <v>28.6</v>
      </c>
      <c r="Q112" s="114">
        <v>29.7</v>
      </c>
      <c r="R112" s="114">
        <v>28.3</v>
      </c>
      <c r="S112" s="114">
        <v>43</v>
      </c>
      <c r="T112" s="114">
        <v>42.1</v>
      </c>
      <c r="U112" s="114">
        <v>43</v>
      </c>
      <c r="V112" s="114">
        <v>43</v>
      </c>
      <c r="W112" s="114">
        <v>64.5</v>
      </c>
      <c r="X112" s="114">
        <v>63</v>
      </c>
      <c r="Y112" s="114">
        <v>63.9</v>
      </c>
      <c r="Z112" s="114">
        <v>73.7</v>
      </c>
      <c r="AA112" s="114">
        <v>59.8</v>
      </c>
      <c r="AB112" s="114">
        <v>49.5</v>
      </c>
      <c r="AC112" s="114">
        <v>49.9</v>
      </c>
      <c r="AD112" s="114">
        <v>43.2</v>
      </c>
      <c r="AE112" s="114">
        <v>42.7</v>
      </c>
      <c r="AF112" s="114"/>
      <c r="AG112" s="113">
        <v>240</v>
      </c>
      <c r="AH112" s="47">
        <f t="shared" si="12"/>
        <v>73.7</v>
      </c>
      <c r="AI112" s="48">
        <f t="shared" si="13"/>
        <v>11.4</v>
      </c>
    </row>
    <row r="113" spans="1:37" x14ac:dyDescent="0.25">
      <c r="A113" s="102" t="s">
        <v>121</v>
      </c>
      <c r="B113" s="114">
        <v>-150</v>
      </c>
      <c r="C113" s="114">
        <v>-140</v>
      </c>
      <c r="D113" s="114">
        <v>-136</v>
      </c>
      <c r="E113" s="114">
        <v>-129</v>
      </c>
      <c r="F113" s="114"/>
      <c r="G113" s="114">
        <v>-133</v>
      </c>
      <c r="H113" s="114">
        <v>-112.5</v>
      </c>
      <c r="I113" s="114">
        <v>-103.2</v>
      </c>
      <c r="J113" s="114">
        <v>-90.2</v>
      </c>
      <c r="K113" s="114">
        <v>-112.3</v>
      </c>
      <c r="L113" s="114"/>
      <c r="M113" s="114"/>
      <c r="N113" s="114"/>
      <c r="O113" s="114"/>
      <c r="P113" s="114"/>
      <c r="Q113" s="114"/>
      <c r="R113" s="114"/>
      <c r="S113" s="114">
        <v>-139.19999999999999</v>
      </c>
      <c r="T113" s="114">
        <v>-129.1</v>
      </c>
      <c r="U113" s="114">
        <v>-135.4</v>
      </c>
      <c r="V113" s="114">
        <v>-135.4</v>
      </c>
      <c r="W113" s="114">
        <v>-132.5</v>
      </c>
      <c r="X113" s="114">
        <v>-115.3</v>
      </c>
      <c r="Y113" s="114">
        <v>-97.3</v>
      </c>
      <c r="Z113" s="114">
        <v>-111.3</v>
      </c>
      <c r="AA113" s="114">
        <v>-130.5</v>
      </c>
      <c r="AB113" s="114">
        <v>-120.5</v>
      </c>
      <c r="AC113" s="114">
        <v>-145</v>
      </c>
      <c r="AD113" s="114">
        <v>-140</v>
      </c>
      <c r="AE113" s="114">
        <v>-150</v>
      </c>
      <c r="AF113" s="114"/>
      <c r="AG113" s="113">
        <v>240</v>
      </c>
      <c r="AH113" s="47">
        <f t="shared" si="12"/>
        <v>-90.2</v>
      </c>
      <c r="AI113" s="48">
        <f t="shared" si="13"/>
        <v>-150</v>
      </c>
    </row>
    <row r="114" spans="1:37" x14ac:dyDescent="0.25">
      <c r="A114" s="102" t="s">
        <v>122</v>
      </c>
      <c r="B114" s="114">
        <v>-5</v>
      </c>
      <c r="C114" s="114">
        <v>-4</v>
      </c>
      <c r="D114" s="114">
        <v>-3.2</v>
      </c>
      <c r="E114" s="114">
        <v>-2.9</v>
      </c>
      <c r="F114" s="114"/>
      <c r="G114" s="114">
        <v>-3.1</v>
      </c>
      <c r="H114" s="114">
        <v>0</v>
      </c>
      <c r="I114" s="114">
        <v>2.2999999999999998</v>
      </c>
      <c r="J114" s="114">
        <v>6.9</v>
      </c>
      <c r="K114" s="114">
        <v>7.5</v>
      </c>
      <c r="L114" s="114"/>
      <c r="M114" s="114"/>
      <c r="N114" s="114">
        <v>6.4</v>
      </c>
      <c r="O114" s="114">
        <v>20.5</v>
      </c>
      <c r="P114" s="114">
        <v>37.4</v>
      </c>
      <c r="Q114" s="114">
        <v>23.4</v>
      </c>
      <c r="R114" s="114">
        <v>25.2</v>
      </c>
      <c r="S114" s="114">
        <v>12</v>
      </c>
      <c r="T114" s="114">
        <v>10.5</v>
      </c>
      <c r="U114" s="114">
        <v>11.5</v>
      </c>
      <c r="V114" s="114">
        <v>11.5</v>
      </c>
      <c r="W114" s="114">
        <v>7.2</v>
      </c>
      <c r="X114" s="114">
        <v>9.6</v>
      </c>
      <c r="Y114" s="114">
        <v>9.9</v>
      </c>
      <c r="Z114" s="114">
        <v>4.5999999999999996</v>
      </c>
      <c r="AA114" s="114">
        <v>1</v>
      </c>
      <c r="AB114" s="114">
        <v>-1.4</v>
      </c>
      <c r="AC114" s="114">
        <v>-4.0999999999999996</v>
      </c>
      <c r="AD114" s="114">
        <v>-3.1</v>
      </c>
      <c r="AE114" s="114">
        <v>-5.5</v>
      </c>
      <c r="AF114" s="114"/>
      <c r="AG114" s="113">
        <v>60</v>
      </c>
      <c r="AH114" s="47">
        <f t="shared" si="12"/>
        <v>37.4</v>
      </c>
      <c r="AI114" s="48">
        <f t="shared" si="13"/>
        <v>-5.5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/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/>
      <c r="M115" s="116"/>
      <c r="N115" s="116">
        <v>56.1</v>
      </c>
      <c r="O115" s="116">
        <v>67.099999999999994</v>
      </c>
      <c r="P115" s="116">
        <v>64.8</v>
      </c>
      <c r="Q115" s="116">
        <v>65.099999999999994</v>
      </c>
      <c r="R115" s="116">
        <v>54.3</v>
      </c>
      <c r="S115" s="116">
        <v>54.3</v>
      </c>
      <c r="T115" s="116">
        <v>54.3</v>
      </c>
      <c r="U115" s="116">
        <v>52.4</v>
      </c>
      <c r="V115" s="116">
        <v>52.4</v>
      </c>
      <c r="W115" s="116">
        <v>53.6</v>
      </c>
      <c r="X115" s="116">
        <v>55.9</v>
      </c>
      <c r="Y115" s="116">
        <v>54.6</v>
      </c>
      <c r="Z115" s="116">
        <v>58.3</v>
      </c>
      <c r="AA115" s="116">
        <v>59</v>
      </c>
      <c r="AB115" s="116">
        <v>59.6</v>
      </c>
      <c r="AC115" s="116">
        <v>43.7</v>
      </c>
      <c r="AD115" s="116">
        <v>33.799999999999997</v>
      </c>
      <c r="AE115" s="116">
        <v>0</v>
      </c>
      <c r="AF115" s="116"/>
      <c r="AG115" s="117">
        <v>120</v>
      </c>
      <c r="AH115" s="47">
        <f t="shared" si="12"/>
        <v>67.099999999999994</v>
      </c>
      <c r="AI115" s="48">
        <f t="shared" si="13"/>
        <v>0</v>
      </c>
    </row>
    <row r="116" spans="1:37" x14ac:dyDescent="0.25">
      <c r="A116" s="115" t="s">
        <v>124</v>
      </c>
      <c r="B116" s="116">
        <v>-33</v>
      </c>
      <c r="C116" s="116">
        <v>-16</v>
      </c>
      <c r="D116" s="116">
        <v>-8.3000000000000007</v>
      </c>
      <c r="E116" s="116">
        <v>0</v>
      </c>
      <c r="F116" s="116"/>
      <c r="G116" s="116">
        <v>19.5</v>
      </c>
      <c r="H116" s="116">
        <v>17.7</v>
      </c>
      <c r="I116" s="116">
        <v>10.4</v>
      </c>
      <c r="J116" s="116">
        <v>-4.5999999999999996</v>
      </c>
      <c r="K116" s="116">
        <v>-29.5</v>
      </c>
      <c r="L116" s="116"/>
      <c r="M116" s="116">
        <v>70</v>
      </c>
      <c r="N116" s="116">
        <v>85</v>
      </c>
      <c r="O116" s="116">
        <v>71.599999999999994</v>
      </c>
      <c r="P116" s="116"/>
      <c r="Q116" s="116">
        <v>71.400000000000006</v>
      </c>
      <c r="R116" s="116">
        <v>59.8</v>
      </c>
      <c r="S116" s="116">
        <v>29.9</v>
      </c>
      <c r="T116" s="116">
        <v>43.4</v>
      </c>
      <c r="U116" s="116">
        <v>30.4</v>
      </c>
      <c r="V116" s="116">
        <v>30.4</v>
      </c>
      <c r="W116" s="116">
        <v>-21.4</v>
      </c>
      <c r="X116" s="116">
        <v>14.4</v>
      </c>
      <c r="Y116" s="116">
        <v>53.4</v>
      </c>
      <c r="Z116" s="116">
        <v>28.7</v>
      </c>
      <c r="AA116" s="116">
        <v>44</v>
      </c>
      <c r="AB116" s="116">
        <v>51.5</v>
      </c>
      <c r="AC116" s="116">
        <v>42.1</v>
      </c>
      <c r="AD116" s="116">
        <v>24.7</v>
      </c>
      <c r="AE116" s="116">
        <v>29.4</v>
      </c>
      <c r="AF116" s="116"/>
      <c r="AG116" s="117"/>
      <c r="AH116" s="47">
        <f t="shared" si="12"/>
        <v>85</v>
      </c>
      <c r="AI116" s="48">
        <f t="shared" si="13"/>
        <v>-33</v>
      </c>
    </row>
    <row r="117" spans="1:37" x14ac:dyDescent="0.25">
      <c r="A117" s="115" t="s">
        <v>125</v>
      </c>
      <c r="B117" s="116">
        <v>6</v>
      </c>
      <c r="C117" s="116">
        <v>0</v>
      </c>
      <c r="D117" s="116">
        <v>2</v>
      </c>
      <c r="E117" s="116">
        <v>4.2</v>
      </c>
      <c r="F117" s="116"/>
      <c r="G117" s="116">
        <v>-8.9</v>
      </c>
      <c r="H117" s="116">
        <v>-6</v>
      </c>
      <c r="I117" s="116">
        <v>-14.7</v>
      </c>
      <c r="J117" s="116">
        <v>-15.6</v>
      </c>
      <c r="K117" s="116">
        <v>-26.3</v>
      </c>
      <c r="L117" s="116"/>
      <c r="M117" s="116">
        <v>15</v>
      </c>
      <c r="N117" s="116">
        <v>8.6</v>
      </c>
      <c r="O117" s="116">
        <v>8.5</v>
      </c>
      <c r="P117" s="116"/>
      <c r="Q117" s="116">
        <v>10.4</v>
      </c>
      <c r="R117" s="116">
        <v>10.9</v>
      </c>
      <c r="S117" s="116">
        <v>10.4</v>
      </c>
      <c r="T117" s="116">
        <v>10.4</v>
      </c>
      <c r="U117" s="116">
        <v>-10.5</v>
      </c>
      <c r="V117" s="116">
        <v>-10.5</v>
      </c>
      <c r="W117" s="116">
        <v>-23.4</v>
      </c>
      <c r="X117" s="116">
        <v>-17.2</v>
      </c>
      <c r="Y117" s="116">
        <v>-19.5</v>
      </c>
      <c r="Z117" s="116">
        <v>-15</v>
      </c>
      <c r="AA117" s="116">
        <v>-19.899999999999999</v>
      </c>
      <c r="AB117" s="116">
        <v>-1.1000000000000001</v>
      </c>
      <c r="AC117" s="116">
        <v>-6.3</v>
      </c>
      <c r="AD117" s="116">
        <v>-3.3</v>
      </c>
      <c r="AE117" s="116">
        <v>-2.6</v>
      </c>
      <c r="AF117" s="116"/>
      <c r="AG117" s="118"/>
      <c r="AH117" s="47">
        <f t="shared" si="12"/>
        <v>15</v>
      </c>
      <c r="AI117" s="48">
        <f t="shared" si="13"/>
        <v>-26.3</v>
      </c>
    </row>
    <row r="118" spans="1:37" x14ac:dyDescent="0.25">
      <c r="A118" s="119" t="s">
        <v>126</v>
      </c>
      <c r="B118" s="105">
        <v>46</v>
      </c>
      <c r="C118" s="105">
        <v>48</v>
      </c>
      <c r="D118" s="105">
        <v>47</v>
      </c>
      <c r="E118" s="105">
        <v>55</v>
      </c>
      <c r="F118" s="105"/>
      <c r="G118" s="105">
        <v>55.7</v>
      </c>
      <c r="H118" s="105">
        <v>56.5</v>
      </c>
      <c r="I118" s="105">
        <v>53.8</v>
      </c>
      <c r="J118" s="105">
        <v>50.6</v>
      </c>
      <c r="K118" s="105">
        <v>49.4</v>
      </c>
      <c r="L118" s="105"/>
      <c r="M118" s="105">
        <v>36.4</v>
      </c>
      <c r="N118" s="105">
        <v>36.4</v>
      </c>
      <c r="O118" s="105">
        <v>33.299999999999997</v>
      </c>
      <c r="P118" s="105"/>
      <c r="Q118" s="105">
        <v>31.1</v>
      </c>
      <c r="R118" s="105">
        <v>31.9</v>
      </c>
      <c r="S118" s="105">
        <v>31.1</v>
      </c>
      <c r="T118" s="105">
        <v>40.5</v>
      </c>
      <c r="U118" s="105">
        <v>37.1</v>
      </c>
      <c r="V118" s="105">
        <v>37.1</v>
      </c>
      <c r="W118" s="105">
        <v>31</v>
      </c>
      <c r="X118" s="105">
        <v>27.1</v>
      </c>
      <c r="Y118" s="105">
        <v>20.7</v>
      </c>
      <c r="Z118" s="105">
        <v>21.4</v>
      </c>
      <c r="AA118" s="105">
        <v>26.2</v>
      </c>
      <c r="AB118" s="105">
        <v>26.9</v>
      </c>
      <c r="AC118" s="105">
        <v>30.9</v>
      </c>
      <c r="AD118" s="105">
        <v>30.8</v>
      </c>
      <c r="AE118" s="105">
        <v>37</v>
      </c>
      <c r="AF118" s="105"/>
      <c r="AG118" s="118"/>
      <c r="AH118" s="47">
        <f t="shared" si="12"/>
        <v>56.5</v>
      </c>
      <c r="AI118" s="48">
        <f t="shared" si="13"/>
        <v>20.7</v>
      </c>
    </row>
    <row r="119" spans="1:37" x14ac:dyDescent="0.25">
      <c r="A119" s="120" t="s">
        <v>127</v>
      </c>
      <c r="B119" s="105">
        <v>91</v>
      </c>
      <c r="C119" s="105">
        <v>79</v>
      </c>
      <c r="D119" s="105">
        <v>74</v>
      </c>
      <c r="E119" s="105">
        <v>68.8</v>
      </c>
      <c r="F119" s="105"/>
      <c r="G119" s="105">
        <v>80.2</v>
      </c>
      <c r="H119" s="105">
        <v>63.8</v>
      </c>
      <c r="I119" s="105">
        <v>62.5</v>
      </c>
      <c r="J119" s="105">
        <v>63.9</v>
      </c>
      <c r="K119" s="105">
        <v>78.8</v>
      </c>
      <c r="L119" s="105"/>
      <c r="M119" s="105">
        <v>52</v>
      </c>
      <c r="N119" s="105">
        <v>45.7</v>
      </c>
      <c r="O119" s="105">
        <v>51.4</v>
      </c>
      <c r="P119" s="105"/>
      <c r="Q119" s="105">
        <v>50.7</v>
      </c>
      <c r="R119" s="105">
        <v>61.3</v>
      </c>
      <c r="S119" s="105">
        <v>27.5</v>
      </c>
      <c r="T119" s="105">
        <v>70</v>
      </c>
      <c r="U119" s="105">
        <v>71</v>
      </c>
      <c r="V119" s="105">
        <v>71</v>
      </c>
      <c r="W119" s="105">
        <v>87.8</v>
      </c>
      <c r="X119" s="105">
        <v>73.400000000000006</v>
      </c>
      <c r="Y119" s="105">
        <v>58.6</v>
      </c>
      <c r="Z119" s="105">
        <v>73.599999999999994</v>
      </c>
      <c r="AA119" s="105">
        <v>69.3</v>
      </c>
      <c r="AB119" s="105">
        <v>67.599999999999994</v>
      </c>
      <c r="AC119" s="105">
        <v>77.900000000000006</v>
      </c>
      <c r="AD119" s="105">
        <v>72.3</v>
      </c>
      <c r="AE119" s="105">
        <v>80.3</v>
      </c>
      <c r="AF119" s="105"/>
      <c r="AG119" s="118"/>
      <c r="AH119" s="47">
        <f t="shared" si="12"/>
        <v>91</v>
      </c>
      <c r="AI119" s="48">
        <f t="shared" si="13"/>
        <v>27.5</v>
      </c>
    </row>
    <row r="120" spans="1:37" ht="15.75" thickBot="1" x14ac:dyDescent="0.3">
      <c r="A120" s="119" t="s">
        <v>128</v>
      </c>
      <c r="B120" s="105">
        <v>9</v>
      </c>
      <c r="C120" s="105">
        <v>10</v>
      </c>
      <c r="D120" s="105">
        <v>6.1</v>
      </c>
      <c r="E120" s="105">
        <v>3.7</v>
      </c>
      <c r="F120" s="105"/>
      <c r="G120" s="105">
        <v>-6</v>
      </c>
      <c r="H120" s="105">
        <v>-15.4</v>
      </c>
      <c r="I120" s="105">
        <v>-16.100000000000001</v>
      </c>
      <c r="J120" s="105">
        <v>-6.8</v>
      </c>
      <c r="K120" s="105">
        <v>0</v>
      </c>
      <c r="L120" s="105"/>
      <c r="M120" s="105">
        <v>12.3</v>
      </c>
      <c r="N120" s="105">
        <v>12.3</v>
      </c>
      <c r="O120" s="105">
        <v>13.1</v>
      </c>
      <c r="P120" s="105"/>
      <c r="Q120" s="105">
        <v>29.6</v>
      </c>
      <c r="R120" s="105">
        <v>31.5</v>
      </c>
      <c r="S120" s="105">
        <v>74.599999999999994</v>
      </c>
      <c r="T120" s="105">
        <v>30.6</v>
      </c>
      <c r="U120" s="105">
        <v>36.799999999999997</v>
      </c>
      <c r="V120" s="105">
        <v>36.799999999999997</v>
      </c>
      <c r="W120" s="105">
        <v>22.6</v>
      </c>
      <c r="X120" s="105">
        <v>29.7</v>
      </c>
      <c r="Y120" s="105">
        <v>48.9</v>
      </c>
      <c r="Z120" s="105">
        <v>45.5</v>
      </c>
      <c r="AA120" s="105">
        <v>41.4</v>
      </c>
      <c r="AB120" s="105">
        <v>51.5</v>
      </c>
      <c r="AC120" s="105">
        <v>43.8</v>
      </c>
      <c r="AD120" s="105">
        <v>44.1</v>
      </c>
      <c r="AE120" s="105">
        <v>37.700000000000003</v>
      </c>
      <c r="AF120" s="105"/>
      <c r="AG120" s="118"/>
      <c r="AH120" s="47">
        <f t="shared" si="12"/>
        <v>74.599999999999994</v>
      </c>
      <c r="AI120" s="48">
        <f t="shared" si="13"/>
        <v>-16.100000000000001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8">SUM(B122:B226)</f>
        <v>0</v>
      </c>
      <c r="C227" s="136">
        <f t="shared" si="28"/>
        <v>0</v>
      </c>
      <c r="D227" s="136">
        <f t="shared" si="28"/>
        <v>0</v>
      </c>
      <c r="E227" s="136">
        <f t="shared" si="28"/>
        <v>0</v>
      </c>
      <c r="F227" s="136">
        <f t="shared" si="28"/>
        <v>0</v>
      </c>
      <c r="G227" s="136">
        <f t="shared" si="28"/>
        <v>0</v>
      </c>
      <c r="H227" s="136">
        <f t="shared" si="28"/>
        <v>0</v>
      </c>
      <c r="I227" s="136">
        <f t="shared" si="28"/>
        <v>0</v>
      </c>
      <c r="J227" s="136">
        <f t="shared" si="28"/>
        <v>0</v>
      </c>
      <c r="K227" s="136">
        <f t="shared" si="28"/>
        <v>0</v>
      </c>
      <c r="L227" s="136">
        <f t="shared" si="28"/>
        <v>0</v>
      </c>
      <c r="M227" s="136">
        <f t="shared" si="28"/>
        <v>0</v>
      </c>
      <c r="N227" s="136">
        <f t="shared" si="28"/>
        <v>0</v>
      </c>
      <c r="O227" s="136">
        <f t="shared" si="28"/>
        <v>0</v>
      </c>
      <c r="P227" s="136">
        <f t="shared" si="28"/>
        <v>0</v>
      </c>
      <c r="Q227" s="136">
        <f t="shared" si="28"/>
        <v>0</v>
      </c>
      <c r="R227" s="136">
        <f t="shared" si="28"/>
        <v>0</v>
      </c>
      <c r="S227" s="136">
        <f t="shared" si="28"/>
        <v>0</v>
      </c>
      <c r="T227" s="136">
        <f t="shared" si="28"/>
        <v>0</v>
      </c>
      <c r="U227" s="136">
        <f t="shared" si="28"/>
        <v>0</v>
      </c>
      <c r="V227" s="136">
        <f t="shared" si="28"/>
        <v>0</v>
      </c>
      <c r="W227" s="136">
        <f t="shared" si="28"/>
        <v>0</v>
      </c>
      <c r="X227" s="136">
        <f t="shared" si="28"/>
        <v>0</v>
      </c>
      <c r="Y227" s="136">
        <f t="shared" si="28"/>
        <v>0</v>
      </c>
      <c r="Z227" s="136">
        <f t="shared" si="28"/>
        <v>0</v>
      </c>
      <c r="AA227" s="136">
        <f t="shared" si="28"/>
        <v>0</v>
      </c>
      <c r="AB227" s="136">
        <f t="shared" si="28"/>
        <v>0</v>
      </c>
      <c r="AC227" s="136">
        <f t="shared" si="28"/>
        <v>0</v>
      </c>
      <c r="AD227" s="136">
        <f t="shared" si="28"/>
        <v>0</v>
      </c>
      <c r="AE227" s="136">
        <f t="shared" si="28"/>
        <v>0</v>
      </c>
      <c r="AF227" s="137">
        <f t="shared" si="28"/>
        <v>0</v>
      </c>
      <c r="AG227" s="138">
        <f t="shared" si="2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9">AF229</f>
        <v>0</v>
      </c>
      <c r="C229" s="140">
        <v>0.3</v>
      </c>
      <c r="D229" s="140">
        <f t="shared" ref="D229:P234" si="30">C229</f>
        <v>0.3</v>
      </c>
      <c r="E229" s="140">
        <f t="shared" si="30"/>
        <v>0.3</v>
      </c>
      <c r="F229" s="140">
        <f t="shared" si="30"/>
        <v>0.3</v>
      </c>
      <c r="G229" s="140">
        <f t="shared" si="30"/>
        <v>0.3</v>
      </c>
      <c r="H229" s="140">
        <f t="shared" si="30"/>
        <v>0.3</v>
      </c>
      <c r="I229" s="140">
        <f t="shared" si="30"/>
        <v>0.3</v>
      </c>
      <c r="J229" s="140">
        <f t="shared" si="30"/>
        <v>0.3</v>
      </c>
      <c r="K229" s="140">
        <f t="shared" si="30"/>
        <v>0.3</v>
      </c>
      <c r="L229" s="140">
        <f t="shared" si="30"/>
        <v>0.3</v>
      </c>
      <c r="M229" s="140">
        <f t="shared" si="30"/>
        <v>0.3</v>
      </c>
      <c r="N229" s="140">
        <f t="shared" si="30"/>
        <v>0.3</v>
      </c>
      <c r="O229" s="140">
        <f t="shared" si="30"/>
        <v>0.3</v>
      </c>
      <c r="P229" s="140">
        <f t="shared" si="3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9"/>
        <v>0</v>
      </c>
      <c r="C230" s="128">
        <v>0.4</v>
      </c>
      <c r="D230" s="128">
        <f t="shared" si="30"/>
        <v>0.4</v>
      </c>
      <c r="E230" s="128">
        <f t="shared" si="30"/>
        <v>0.4</v>
      </c>
      <c r="F230" s="128">
        <f t="shared" si="30"/>
        <v>0.4</v>
      </c>
      <c r="G230" s="128">
        <f t="shared" si="30"/>
        <v>0.4</v>
      </c>
      <c r="H230" s="128">
        <f t="shared" si="30"/>
        <v>0.4</v>
      </c>
      <c r="I230" s="128">
        <f t="shared" si="30"/>
        <v>0.4</v>
      </c>
      <c r="J230" s="128">
        <f t="shared" si="30"/>
        <v>0.4</v>
      </c>
      <c r="K230" s="128">
        <f t="shared" si="30"/>
        <v>0.4</v>
      </c>
      <c r="L230" s="128">
        <f t="shared" si="30"/>
        <v>0.4</v>
      </c>
      <c r="M230" s="128">
        <f t="shared" si="30"/>
        <v>0.4</v>
      </c>
      <c r="N230" s="128">
        <f t="shared" si="30"/>
        <v>0.4</v>
      </c>
      <c r="O230" s="128">
        <f t="shared" si="30"/>
        <v>0.4</v>
      </c>
      <c r="P230" s="128">
        <f t="shared" si="3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9"/>
        <v>0</v>
      </c>
      <c r="C231" s="128">
        <v>1.5</v>
      </c>
      <c r="D231" s="128">
        <f t="shared" si="30"/>
        <v>1.5</v>
      </c>
      <c r="E231" s="128">
        <f t="shared" si="30"/>
        <v>1.5</v>
      </c>
      <c r="F231" s="128">
        <f t="shared" si="30"/>
        <v>1.5</v>
      </c>
      <c r="G231" s="128">
        <f t="shared" si="30"/>
        <v>1.5</v>
      </c>
      <c r="H231" s="128">
        <f t="shared" si="3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0"/>
        <v>123.21900000000009</v>
      </c>
      <c r="K231" s="128">
        <f t="shared" ca="1" si="30"/>
        <v>123.21900000000009</v>
      </c>
      <c r="L231" s="128">
        <f t="shared" ca="1" si="30"/>
        <v>123.21900000000009</v>
      </c>
      <c r="M231" s="128">
        <f t="shared" ca="1" si="30"/>
        <v>119.19900000000008</v>
      </c>
      <c r="N231" s="128">
        <f t="shared" ca="1" si="30"/>
        <v>119.19900000000008</v>
      </c>
      <c r="O231" s="128">
        <f t="shared" ca="1" si="30"/>
        <v>119.19900000000008</v>
      </c>
      <c r="P231" s="128">
        <f t="shared" ca="1" si="3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9"/>
        <v>0</v>
      </c>
      <c r="C232" s="128">
        <v>0.3</v>
      </c>
      <c r="D232" s="128">
        <f t="shared" si="30"/>
        <v>0.3</v>
      </c>
      <c r="E232" s="128">
        <f t="shared" si="30"/>
        <v>0.3</v>
      </c>
      <c r="F232" s="128">
        <f t="shared" si="30"/>
        <v>0.3</v>
      </c>
      <c r="G232" s="128">
        <f t="shared" si="30"/>
        <v>0.3</v>
      </c>
      <c r="H232" s="128">
        <f t="shared" si="30"/>
        <v>0.3</v>
      </c>
      <c r="I232" s="128">
        <f t="shared" si="30"/>
        <v>0.3</v>
      </c>
      <c r="J232" s="128">
        <f t="shared" si="30"/>
        <v>0.3</v>
      </c>
      <c r="K232" s="128">
        <f t="shared" si="30"/>
        <v>0.3</v>
      </c>
      <c r="L232" s="128">
        <f t="shared" si="30"/>
        <v>0.3</v>
      </c>
      <c r="M232" s="128">
        <f t="shared" si="30"/>
        <v>0.3</v>
      </c>
      <c r="N232" s="128">
        <f t="shared" si="30"/>
        <v>0.3</v>
      </c>
      <c r="O232" s="128">
        <f t="shared" si="30"/>
        <v>0.3</v>
      </c>
      <c r="P232" s="128">
        <f t="shared" si="3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9"/>
        <v>0</v>
      </c>
      <c r="C233" s="128">
        <v>0.4</v>
      </c>
      <c r="D233" s="128">
        <f t="shared" si="30"/>
        <v>0.4</v>
      </c>
      <c r="E233" s="128">
        <f t="shared" si="30"/>
        <v>0.4</v>
      </c>
      <c r="F233" s="128">
        <f t="shared" si="30"/>
        <v>0.4</v>
      </c>
      <c r="G233" s="128">
        <f t="shared" si="30"/>
        <v>0.4</v>
      </c>
      <c r="H233" s="128">
        <f t="shared" si="30"/>
        <v>0.4</v>
      </c>
      <c r="I233" s="128">
        <f t="shared" si="30"/>
        <v>0.4</v>
      </c>
      <c r="J233" s="128">
        <f t="shared" si="30"/>
        <v>0.4</v>
      </c>
      <c r="K233" s="128">
        <f t="shared" si="30"/>
        <v>0.4</v>
      </c>
      <c r="L233" s="128">
        <f t="shared" si="30"/>
        <v>0.4</v>
      </c>
      <c r="M233" s="128">
        <f t="shared" si="30"/>
        <v>0.4</v>
      </c>
      <c r="N233" s="128">
        <f t="shared" si="30"/>
        <v>0.4</v>
      </c>
      <c r="O233" s="128">
        <f t="shared" si="30"/>
        <v>0.4</v>
      </c>
      <c r="P233" s="128">
        <f t="shared" si="3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9"/>
        <v>0</v>
      </c>
      <c r="C234" s="132">
        <v>0.64</v>
      </c>
      <c r="D234" s="132">
        <f t="shared" si="30"/>
        <v>0.64</v>
      </c>
      <c r="E234" s="132">
        <f t="shared" si="30"/>
        <v>0.64</v>
      </c>
      <c r="F234" s="132">
        <f t="shared" si="30"/>
        <v>0.64</v>
      </c>
      <c r="G234" s="132">
        <f t="shared" si="30"/>
        <v>0.64</v>
      </c>
      <c r="H234" s="132">
        <f t="shared" si="30"/>
        <v>0.64</v>
      </c>
      <c r="I234" s="132">
        <f t="shared" si="30"/>
        <v>0.64</v>
      </c>
      <c r="J234" s="132">
        <f t="shared" si="30"/>
        <v>0.64</v>
      </c>
      <c r="K234" s="132">
        <f t="shared" si="30"/>
        <v>0.64</v>
      </c>
      <c r="L234" s="132">
        <f t="shared" si="30"/>
        <v>0.64</v>
      </c>
      <c r="M234" s="132">
        <f t="shared" si="30"/>
        <v>0.64</v>
      </c>
      <c r="N234" s="132">
        <f t="shared" si="30"/>
        <v>0.64</v>
      </c>
      <c r="O234" s="132">
        <f t="shared" si="30"/>
        <v>0.64</v>
      </c>
      <c r="P234" s="132">
        <f t="shared" si="3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1">SUM(B229:B234)</f>
        <v>0</v>
      </c>
      <c r="C235" s="136">
        <f t="shared" si="31"/>
        <v>3.54</v>
      </c>
      <c r="D235" s="136">
        <f t="shared" si="31"/>
        <v>3.54</v>
      </c>
      <c r="E235" s="136">
        <f t="shared" si="31"/>
        <v>3.54</v>
      </c>
      <c r="F235" s="136">
        <f t="shared" si="31"/>
        <v>3.54</v>
      </c>
      <c r="G235" s="136">
        <f t="shared" si="31"/>
        <v>3.54</v>
      </c>
      <c r="H235" s="136">
        <f t="shared" si="31"/>
        <v>3.54</v>
      </c>
      <c r="I235" s="136">
        <f t="shared" ca="1" si="31"/>
        <v>121.23900000000009</v>
      </c>
      <c r="J235" s="136">
        <f t="shared" ca="1" si="31"/>
        <v>121.23900000000009</v>
      </c>
      <c r="K235" s="136">
        <f t="shared" ca="1" si="31"/>
        <v>121.23900000000009</v>
      </c>
      <c r="L235" s="136">
        <f t="shared" ca="1" si="31"/>
        <v>125.2590000000001</v>
      </c>
      <c r="M235" s="136">
        <f t="shared" ca="1" si="31"/>
        <v>121.23900000000009</v>
      </c>
      <c r="N235" s="136">
        <f t="shared" ca="1" si="31"/>
        <v>121.23900000000009</v>
      </c>
      <c r="O235" s="136">
        <f t="shared" ca="1" si="31"/>
        <v>121.23900000000009</v>
      </c>
      <c r="P235" s="136">
        <f t="shared" ca="1" si="31"/>
        <v>121.23900000000009</v>
      </c>
      <c r="Q235" s="136">
        <f t="shared" si="31"/>
        <v>0</v>
      </c>
      <c r="R235" s="136">
        <f t="shared" si="31"/>
        <v>0</v>
      </c>
      <c r="S235" s="136">
        <f t="shared" si="31"/>
        <v>0</v>
      </c>
      <c r="T235" s="136">
        <f t="shared" si="31"/>
        <v>0</v>
      </c>
      <c r="U235" s="136">
        <f t="shared" si="31"/>
        <v>0</v>
      </c>
      <c r="V235" s="136">
        <f t="shared" si="31"/>
        <v>0</v>
      </c>
      <c r="W235" s="136">
        <f t="shared" si="31"/>
        <v>0</v>
      </c>
      <c r="X235" s="136">
        <f t="shared" si="31"/>
        <v>0</v>
      </c>
      <c r="Y235" s="136">
        <f t="shared" si="31"/>
        <v>0</v>
      </c>
      <c r="Z235" s="136">
        <f t="shared" si="31"/>
        <v>0</v>
      </c>
      <c r="AA235" s="136">
        <f t="shared" si="31"/>
        <v>0</v>
      </c>
      <c r="AB235" s="136">
        <f t="shared" si="31"/>
        <v>0</v>
      </c>
      <c r="AC235" s="136">
        <f t="shared" si="31"/>
        <v>0</v>
      </c>
      <c r="AD235" s="136">
        <f t="shared" si="31"/>
        <v>0</v>
      </c>
      <c r="AE235" s="136">
        <f t="shared" si="31"/>
        <v>0</v>
      </c>
      <c r="AF235" s="136">
        <f t="shared" si="31"/>
        <v>0</v>
      </c>
      <c r="AG235" s="145">
        <f t="shared" si="3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1997.6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02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2080/05/2)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2080/05/2)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2">B91</f>
        <v>1927.8999999999996</v>
      </c>
      <c r="U249" s="170">
        <f t="shared" si="32"/>
        <v>1950.3</v>
      </c>
      <c r="V249" s="170">
        <f t="shared" si="32"/>
        <v>1926.8</v>
      </c>
      <c r="W249" s="170">
        <f t="shared" si="32"/>
        <v>1917.3</v>
      </c>
      <c r="X249" s="170">
        <f t="shared" si="32"/>
        <v>1917.3</v>
      </c>
      <c r="Y249" s="170">
        <f t="shared" si="32"/>
        <v>1917.3</v>
      </c>
      <c r="Z249" s="170">
        <f t="shared" si="32"/>
        <v>1918.3</v>
      </c>
      <c r="AA249" s="170">
        <f t="shared" si="32"/>
        <v>1917.3</v>
      </c>
      <c r="AB249" s="170">
        <f t="shared" si="32"/>
        <v>1940.3</v>
      </c>
      <c r="AC249" s="170">
        <f t="shared" si="32"/>
        <v>1949.3</v>
      </c>
      <c r="AD249" s="170">
        <f t="shared" si="32"/>
        <v>1953.3</v>
      </c>
      <c r="AE249" s="170">
        <f t="shared" si="32"/>
        <v>1726.1</v>
      </c>
      <c r="AF249" s="170">
        <f t="shared" si="32"/>
        <v>1997.6</v>
      </c>
      <c r="AG249" s="170">
        <f t="shared" si="32"/>
        <v>2072.3999999999996</v>
      </c>
      <c r="AH249" s="170">
        <f t="shared" si="32"/>
        <v>2100.6</v>
      </c>
      <c r="AI249" s="170">
        <f t="shared" si="32"/>
        <v>2073.9</v>
      </c>
      <c r="AJ249" s="170">
        <f t="shared" si="32"/>
        <v>2057.9</v>
      </c>
      <c r="AK249" s="170">
        <f t="shared" si="32"/>
        <v>2029.1999999999998</v>
      </c>
      <c r="AL249" s="170">
        <f t="shared" si="32"/>
        <v>2020.9999999999998</v>
      </c>
      <c r="AM249" s="170">
        <f t="shared" si="32"/>
        <v>2037.1</v>
      </c>
      <c r="AN249" s="170">
        <f t="shared" si="32"/>
        <v>2039.6999999999998</v>
      </c>
      <c r="AO249" s="170">
        <f t="shared" si="32"/>
        <v>2034.5</v>
      </c>
      <c r="AP249" s="170">
        <f t="shared" si="32"/>
        <v>2044.2999999999997</v>
      </c>
      <c r="AQ249" s="170">
        <f t="shared" si="32"/>
        <v>2044.2999999999997</v>
      </c>
      <c r="AR249" s="170">
        <f t="shared" si="32"/>
        <v>2097.3000000000002</v>
      </c>
      <c r="AS249" s="170">
        <f t="shared" si="32"/>
        <v>2047.8999999999999</v>
      </c>
      <c r="AT249" s="170">
        <f t="shared" si="32"/>
        <v>2078.1</v>
      </c>
      <c r="AU249" s="170">
        <f t="shared" si="32"/>
        <v>2082.6</v>
      </c>
      <c r="AV249" s="170">
        <f t="shared" si="32"/>
        <v>2054.8999999999996</v>
      </c>
      <c r="AW249" s="170">
        <f t="shared" si="32"/>
        <v>2031.7999999999997</v>
      </c>
      <c r="AX249" s="170">
        <f t="shared" si="32"/>
        <v>3.54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3">C234</f>
        <v>0.64</v>
      </c>
      <c r="C270" s="173">
        <f t="shared" si="33"/>
        <v>0.64</v>
      </c>
      <c r="D270" s="173">
        <f t="shared" si="33"/>
        <v>0.64</v>
      </c>
      <c r="E270" s="173">
        <f t="shared" si="33"/>
        <v>0.64</v>
      </c>
      <c r="F270" s="173">
        <f t="shared" si="33"/>
        <v>0.64</v>
      </c>
      <c r="G270" s="173">
        <f t="shared" si="33"/>
        <v>0.64</v>
      </c>
      <c r="H270" s="173">
        <f t="shared" si="33"/>
        <v>0.64</v>
      </c>
      <c r="I270" s="173">
        <f t="shared" si="33"/>
        <v>0.64</v>
      </c>
      <c r="J270" s="173">
        <f t="shared" si="33"/>
        <v>0.64</v>
      </c>
      <c r="K270" s="173">
        <f t="shared" si="33"/>
        <v>0.64</v>
      </c>
      <c r="L270" s="173">
        <f t="shared" si="33"/>
        <v>0.64</v>
      </c>
      <c r="M270" s="173">
        <f t="shared" si="33"/>
        <v>0.64</v>
      </c>
      <c r="N270" s="173">
        <f t="shared" si="33"/>
        <v>0.64</v>
      </c>
      <c r="O270" s="173">
        <f t="shared" si="33"/>
        <v>0.64</v>
      </c>
      <c r="P270" s="173">
        <f t="shared" si="33"/>
        <v>0</v>
      </c>
      <c r="Q270" s="173">
        <f t="shared" si="33"/>
        <v>0</v>
      </c>
      <c r="R270" s="173">
        <f t="shared" si="33"/>
        <v>0</v>
      </c>
      <c r="S270" s="173">
        <f t="shared" si="33"/>
        <v>0</v>
      </c>
      <c r="T270" s="173">
        <f t="shared" si="33"/>
        <v>0</v>
      </c>
      <c r="U270" s="173">
        <f t="shared" si="33"/>
        <v>0</v>
      </c>
      <c r="V270" s="173">
        <f t="shared" si="33"/>
        <v>0</v>
      </c>
      <c r="W270" s="173">
        <f t="shared" si="33"/>
        <v>0</v>
      </c>
      <c r="X270" s="173">
        <f t="shared" si="33"/>
        <v>0</v>
      </c>
      <c r="Y270" s="173">
        <f t="shared" si="33"/>
        <v>0</v>
      </c>
      <c r="Z270" s="173">
        <f t="shared" si="33"/>
        <v>0</v>
      </c>
      <c r="AA270" s="173">
        <f t="shared" si="33"/>
        <v>0</v>
      </c>
      <c r="AB270" s="173">
        <f t="shared" si="33"/>
        <v>0</v>
      </c>
      <c r="AC270" s="173">
        <f t="shared" si="33"/>
        <v>0</v>
      </c>
      <c r="AD270" s="173">
        <f t="shared" si="33"/>
        <v>0</v>
      </c>
      <c r="AE270" s="173">
        <f t="shared" si="3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4">IF(B238&lt;100,"",B238-520)</f>
        <v/>
      </c>
      <c r="C271" s="174" t="str">
        <f t="shared" si="34"/>
        <v/>
      </c>
      <c r="D271" s="174" t="str">
        <f t="shared" si="34"/>
        <v/>
      </c>
      <c r="E271" s="174" t="str">
        <f t="shared" si="34"/>
        <v/>
      </c>
      <c r="F271" s="174" t="str">
        <f t="shared" si="34"/>
        <v/>
      </c>
      <c r="G271" s="174" t="str">
        <f t="shared" si="34"/>
        <v/>
      </c>
      <c r="H271" s="174" t="str">
        <f t="shared" si="34"/>
        <v/>
      </c>
      <c r="I271" s="174" t="str">
        <f t="shared" si="34"/>
        <v/>
      </c>
      <c r="J271" s="174" t="str">
        <f t="shared" si="34"/>
        <v/>
      </c>
      <c r="K271" s="174" t="str">
        <f t="shared" si="34"/>
        <v/>
      </c>
      <c r="L271" s="174" t="str">
        <f t="shared" si="34"/>
        <v/>
      </c>
      <c r="M271" s="174" t="str">
        <f t="shared" si="34"/>
        <v/>
      </c>
      <c r="N271" s="174" t="str">
        <f t="shared" si="34"/>
        <v/>
      </c>
      <c r="O271" s="174" t="str">
        <f t="shared" si="34"/>
        <v/>
      </c>
      <c r="P271" s="174" t="str">
        <f t="shared" si="34"/>
        <v/>
      </c>
      <c r="Q271" s="174" t="str">
        <f t="shared" si="34"/>
        <v/>
      </c>
      <c r="R271" s="174" t="str">
        <f t="shared" si="34"/>
        <v/>
      </c>
      <c r="S271" s="174" t="str">
        <f t="shared" si="34"/>
        <v/>
      </c>
      <c r="T271" s="174" t="str">
        <f t="shared" si="34"/>
        <v/>
      </c>
      <c r="U271" s="174" t="str">
        <f t="shared" si="34"/>
        <v/>
      </c>
      <c r="V271" s="174" t="str">
        <f t="shared" si="34"/>
        <v/>
      </c>
      <c r="W271" s="174" t="str">
        <f t="shared" si="34"/>
        <v/>
      </c>
      <c r="X271" s="174" t="str">
        <f t="shared" si="34"/>
        <v/>
      </c>
      <c r="Y271" s="174" t="str">
        <f t="shared" si="34"/>
        <v/>
      </c>
      <c r="Z271" s="174" t="str">
        <f t="shared" si="34"/>
        <v/>
      </c>
      <c r="AA271" s="174" t="str">
        <f t="shared" si="34"/>
        <v/>
      </c>
      <c r="AB271" s="174" t="str">
        <f t="shared" si="34"/>
        <v/>
      </c>
      <c r="AC271" s="174" t="str">
        <f t="shared" si="34"/>
        <v/>
      </c>
      <c r="AD271" s="174" t="str">
        <f t="shared" si="34"/>
        <v/>
      </c>
      <c r="AE271" s="174" t="str">
        <f t="shared" si="34"/>
        <v/>
      </c>
      <c r="AF271" s="174" t="str">
        <f t="shared" si="3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5">IF(B239&lt;100,"",B239-620)</f>
        <v/>
      </c>
      <c r="C272" s="174" t="str">
        <f t="shared" si="35"/>
        <v/>
      </c>
      <c r="D272" s="174" t="str">
        <f t="shared" si="35"/>
        <v/>
      </c>
      <c r="E272" s="174" t="str">
        <f t="shared" si="35"/>
        <v/>
      </c>
      <c r="F272" s="174" t="str">
        <f t="shared" si="35"/>
        <v/>
      </c>
      <c r="G272" s="174" t="str">
        <f t="shared" si="35"/>
        <v/>
      </c>
      <c r="H272" s="174" t="str">
        <f t="shared" si="35"/>
        <v/>
      </c>
      <c r="I272" s="174" t="str">
        <f t="shared" si="35"/>
        <v/>
      </c>
      <c r="J272" s="174" t="str">
        <f t="shared" si="35"/>
        <v/>
      </c>
      <c r="K272" s="174" t="str">
        <f t="shared" si="35"/>
        <v/>
      </c>
      <c r="L272" s="174" t="str">
        <f t="shared" si="35"/>
        <v/>
      </c>
      <c r="M272" s="174" t="str">
        <f t="shared" si="35"/>
        <v/>
      </c>
      <c r="N272" s="174" t="str">
        <f t="shared" si="35"/>
        <v/>
      </c>
      <c r="O272" s="174" t="str">
        <f t="shared" si="35"/>
        <v/>
      </c>
      <c r="P272" s="174" t="str">
        <f t="shared" si="35"/>
        <v/>
      </c>
      <c r="Q272" s="174" t="str">
        <f t="shared" si="35"/>
        <v/>
      </c>
      <c r="R272" s="174" t="str">
        <f t="shared" si="35"/>
        <v/>
      </c>
      <c r="S272" s="174" t="str">
        <f t="shared" si="35"/>
        <v/>
      </c>
      <c r="T272" s="174" t="str">
        <f t="shared" si="35"/>
        <v/>
      </c>
      <c r="U272" s="174" t="str">
        <f t="shared" si="35"/>
        <v/>
      </c>
      <c r="V272" s="174" t="str">
        <f t="shared" si="35"/>
        <v/>
      </c>
      <c r="W272" s="174" t="str">
        <f t="shared" si="35"/>
        <v/>
      </c>
      <c r="X272" s="174" t="str">
        <f t="shared" si="35"/>
        <v/>
      </c>
      <c r="Y272" s="174" t="str">
        <f t="shared" si="35"/>
        <v/>
      </c>
      <c r="Z272" s="174" t="str">
        <f t="shared" si="35"/>
        <v/>
      </c>
      <c r="AA272" s="174" t="str">
        <f t="shared" si="35"/>
        <v/>
      </c>
      <c r="AB272" s="174" t="str">
        <f t="shared" si="35"/>
        <v/>
      </c>
      <c r="AC272" s="174" t="str">
        <f t="shared" si="35"/>
        <v/>
      </c>
      <c r="AD272" s="174" t="str">
        <f t="shared" si="35"/>
        <v/>
      </c>
      <c r="AE272" s="174" t="str">
        <f t="shared" si="35"/>
        <v/>
      </c>
      <c r="AF272" s="174" t="str">
        <f t="shared" si="3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6">IF(B240&lt;100,"",B240-330)</f>
        <v/>
      </c>
      <c r="C273" s="174" t="str">
        <f t="shared" si="36"/>
        <v/>
      </c>
      <c r="D273" s="174" t="str">
        <f t="shared" si="36"/>
        <v/>
      </c>
      <c r="E273" s="174" t="str">
        <f t="shared" si="36"/>
        <v/>
      </c>
      <c r="F273" s="174" t="str">
        <f t="shared" si="36"/>
        <v/>
      </c>
      <c r="G273" s="174" t="str">
        <f t="shared" si="36"/>
        <v/>
      </c>
      <c r="H273" s="174" t="str">
        <f t="shared" si="36"/>
        <v/>
      </c>
      <c r="I273" s="174" t="str">
        <f t="shared" si="36"/>
        <v/>
      </c>
      <c r="J273" s="174" t="str">
        <f t="shared" si="36"/>
        <v/>
      </c>
      <c r="K273" s="174" t="str">
        <f t="shared" si="36"/>
        <v/>
      </c>
      <c r="L273" s="174" t="str">
        <f t="shared" si="36"/>
        <v/>
      </c>
      <c r="M273" s="174" t="str">
        <f t="shared" si="36"/>
        <v/>
      </c>
      <c r="N273" s="174" t="str">
        <f t="shared" si="36"/>
        <v/>
      </c>
      <c r="O273" s="174" t="str">
        <f t="shared" si="36"/>
        <v/>
      </c>
      <c r="P273" s="174" t="str">
        <f t="shared" si="36"/>
        <v/>
      </c>
      <c r="Q273" s="174" t="str">
        <f t="shared" si="36"/>
        <v/>
      </c>
      <c r="R273" s="174" t="str">
        <f t="shared" si="36"/>
        <v/>
      </c>
      <c r="S273" s="174" t="str">
        <f t="shared" si="36"/>
        <v/>
      </c>
      <c r="T273" s="174" t="str">
        <f t="shared" si="36"/>
        <v/>
      </c>
      <c r="U273" s="174" t="str">
        <f t="shared" si="36"/>
        <v/>
      </c>
      <c r="V273" s="174" t="str">
        <f t="shared" si="36"/>
        <v/>
      </c>
      <c r="W273" s="174" t="str">
        <f t="shared" si="36"/>
        <v/>
      </c>
      <c r="X273" s="174" t="str">
        <f t="shared" si="36"/>
        <v/>
      </c>
      <c r="Y273" s="174" t="str">
        <f t="shared" si="36"/>
        <v/>
      </c>
      <c r="Z273" s="174" t="str">
        <f t="shared" si="36"/>
        <v/>
      </c>
      <c r="AA273" s="174" t="str">
        <f t="shared" si="36"/>
        <v/>
      </c>
      <c r="AB273" s="174" t="str">
        <f t="shared" si="36"/>
        <v/>
      </c>
      <c r="AC273" s="174" t="str">
        <f t="shared" si="36"/>
        <v/>
      </c>
      <c r="AD273" s="174" t="str">
        <f t="shared" si="36"/>
        <v/>
      </c>
      <c r="AE273" s="174" t="str">
        <f t="shared" si="36"/>
        <v/>
      </c>
      <c r="AF273" s="174" t="str">
        <f t="shared" si="3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7">IF(B241&lt;100,"",B241-1500)</f>
        <v/>
      </c>
      <c r="C274" s="174" t="str">
        <f t="shared" si="37"/>
        <v/>
      </c>
      <c r="D274" s="174" t="str">
        <f t="shared" si="37"/>
        <v/>
      </c>
      <c r="E274" s="174" t="str">
        <f t="shared" si="37"/>
        <v/>
      </c>
      <c r="F274" s="174" t="str">
        <f t="shared" si="37"/>
        <v/>
      </c>
      <c r="G274" s="174" t="str">
        <f t="shared" si="37"/>
        <v/>
      </c>
      <c r="H274" s="174" t="str">
        <f t="shared" si="37"/>
        <v/>
      </c>
      <c r="I274" s="174" t="str">
        <f t="shared" si="37"/>
        <v/>
      </c>
      <c r="J274" s="174" t="str">
        <f t="shared" si="37"/>
        <v/>
      </c>
      <c r="K274" s="174" t="str">
        <f t="shared" si="37"/>
        <v/>
      </c>
      <c r="L274" s="174" t="str">
        <f t="shared" si="37"/>
        <v/>
      </c>
      <c r="M274" s="174" t="str">
        <f t="shared" si="37"/>
        <v/>
      </c>
      <c r="N274" s="174" t="str">
        <f t="shared" si="37"/>
        <v/>
      </c>
      <c r="O274" s="174" t="str">
        <f t="shared" si="37"/>
        <v/>
      </c>
      <c r="P274" s="174" t="str">
        <f t="shared" si="37"/>
        <v/>
      </c>
      <c r="Q274" s="174" t="str">
        <f t="shared" si="37"/>
        <v/>
      </c>
      <c r="R274" s="174" t="str">
        <f t="shared" si="37"/>
        <v/>
      </c>
      <c r="S274" s="174" t="str">
        <f t="shared" si="37"/>
        <v/>
      </c>
      <c r="T274" s="174" t="str">
        <f t="shared" si="37"/>
        <v/>
      </c>
      <c r="U274" s="174" t="str">
        <f t="shared" si="37"/>
        <v/>
      </c>
      <c r="V274" s="174" t="str">
        <f t="shared" si="37"/>
        <v/>
      </c>
      <c r="W274" s="174" t="str">
        <f t="shared" si="37"/>
        <v/>
      </c>
      <c r="X274" s="174" t="str">
        <f t="shared" si="37"/>
        <v/>
      </c>
      <c r="Y274" s="174" t="str">
        <f t="shared" si="37"/>
        <v/>
      </c>
      <c r="Z274" s="174" t="str">
        <f t="shared" si="37"/>
        <v/>
      </c>
      <c r="AA274" s="174" t="str">
        <f t="shared" si="37"/>
        <v/>
      </c>
      <c r="AB274" s="174" t="str">
        <f t="shared" si="37"/>
        <v/>
      </c>
      <c r="AC274" s="174" t="str">
        <f t="shared" si="37"/>
        <v/>
      </c>
      <c r="AD274" s="174" t="str">
        <f t="shared" si="37"/>
        <v/>
      </c>
      <c r="AE274" s="174" t="str">
        <f t="shared" si="37"/>
        <v/>
      </c>
      <c r="AF274" s="174" t="str">
        <f t="shared" si="3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715" priority="64">
      <formula>$AH11=0</formula>
    </cfRule>
  </conditionalFormatting>
  <conditionalFormatting sqref="B8 M8 S8 AB8">
    <cfRule type="expression" dxfId="3714" priority="115">
      <formula>AND(C$9&gt;=14/24,C$9&lt;20/24)</formula>
    </cfRule>
    <cfRule type="expression" dxfId="3713" priority="116">
      <formula>AND(C$9&gt;=8/24,C$9&lt;14/24)</formula>
    </cfRule>
    <cfRule type="expression" dxfId="3712" priority="117">
      <formula>C$9&lt;8/24</formula>
    </cfRule>
  </conditionalFormatting>
  <conditionalFormatting sqref="B54:C54">
    <cfRule type="expression" dxfId="3711" priority="38">
      <formula>B$9&gt;=20/24</formula>
    </cfRule>
    <cfRule type="expression" dxfId="3710" priority="39">
      <formula>AND(B$9&gt;=14/24,B$9&lt;20/24)</formula>
    </cfRule>
    <cfRule type="expression" dxfId="3709" priority="40">
      <formula>AND(B$9&gt;=8/24,B$9&lt;14/24)</formula>
    </cfRule>
    <cfRule type="expression" dxfId="3708" priority="41">
      <formula>B$9&lt;8/24</formula>
    </cfRule>
  </conditionalFormatting>
  <conditionalFormatting sqref="B54:C66 D55:M66 N61:N66 O63:O66 N62:O62 P62:Q66">
    <cfRule type="expression" dxfId="3707" priority="33">
      <formula>B54&gt;$AG54</formula>
    </cfRule>
  </conditionalFormatting>
  <conditionalFormatting sqref="B55:M59">
    <cfRule type="expression" dxfId="3706" priority="60">
      <formula>B$9&gt;=20/24</formula>
    </cfRule>
    <cfRule type="expression" dxfId="3705" priority="61">
      <formula>AND(B$9&gt;=14/24,B$9&lt;20/24)</formula>
    </cfRule>
    <cfRule type="expression" dxfId="3704" priority="62">
      <formula>AND(B$9&gt;=8/24,B$9&lt;14/24)</formula>
    </cfRule>
    <cfRule type="expression" dxfId="3703" priority="63">
      <formula>B$9&lt;8/24</formula>
    </cfRule>
  </conditionalFormatting>
  <conditionalFormatting sqref="B60:Y60">
    <cfRule type="expression" dxfId="3702" priority="51">
      <formula>B$9&gt;=20/24</formula>
    </cfRule>
    <cfRule type="expression" dxfId="3701" priority="52">
      <formula>AND(B$9&gt;=14/24,B$9&lt;20/24)</formula>
    </cfRule>
    <cfRule type="expression" dxfId="3700" priority="53">
      <formula>AND(B$9&gt;=8/24,B$9&lt;14/24)</formula>
    </cfRule>
    <cfRule type="expression" dxfId="3699" priority="54">
      <formula>B$9&lt;8/24</formula>
    </cfRule>
  </conditionalFormatting>
  <conditionalFormatting sqref="B61:AE66">
    <cfRule type="expression" dxfId="3698" priority="34">
      <formula>B$9&gt;=20/24</formula>
    </cfRule>
    <cfRule type="expression" dxfId="3697" priority="35">
      <formula>AND(B$9&gt;=14/24,B$9&lt;20/24)</formula>
    </cfRule>
    <cfRule type="expression" dxfId="3696" priority="36">
      <formula>AND(B$9&gt;=8/24,B$9&lt;14/24)</formula>
    </cfRule>
    <cfRule type="expression" dxfId="3695" priority="37">
      <formula>B$9&lt;8/24</formula>
    </cfRule>
  </conditionalFormatting>
  <conditionalFormatting sqref="B9:AF45">
    <cfRule type="expression" dxfId="3694" priority="23">
      <formula>B$9&gt;=20/24</formula>
    </cfRule>
    <cfRule type="expression" dxfId="3693" priority="24">
      <formula>AND(B$9&gt;=14/24,B$9&lt;20/24)</formula>
    </cfRule>
    <cfRule type="expression" dxfId="3692" priority="25">
      <formula>AND(B$9&gt;=8/24,B$9&lt;14/24)</formula>
    </cfRule>
    <cfRule type="expression" dxfId="3691" priority="26">
      <formula>B$9&lt;8/24</formula>
    </cfRule>
  </conditionalFormatting>
  <conditionalFormatting sqref="B11:AF46">
    <cfRule type="expression" dxfId="3690" priority="22">
      <formula>B11&gt;$AG11</formula>
    </cfRule>
  </conditionalFormatting>
  <conditionalFormatting sqref="B46:AF46">
    <cfRule type="expression" dxfId="3689" priority="18">
      <formula>B$9&gt;=20/24</formula>
    </cfRule>
    <cfRule type="expression" dxfId="3688" priority="19">
      <formula>AND(B$9&gt;=14/24,B$9&lt;20/24)</formula>
    </cfRule>
    <cfRule type="expression" dxfId="3687" priority="20">
      <formula>AND(B$9&gt;=8/24,B$9&lt;14/24)</formula>
    </cfRule>
    <cfRule type="expression" dxfId="3686" priority="21">
      <formula>B$9&lt;8/24</formula>
    </cfRule>
  </conditionalFormatting>
  <conditionalFormatting sqref="B47:AF47">
    <cfRule type="expression" dxfId="3685" priority="32">
      <formula>B47&gt;$AG47</formula>
    </cfRule>
  </conditionalFormatting>
  <conditionalFormatting sqref="B47:AF49">
    <cfRule type="expression" dxfId="3684" priority="28">
      <formula>B$9&gt;=20/24</formula>
    </cfRule>
    <cfRule type="expression" dxfId="3683" priority="29">
      <formula>AND(B$9&gt;=14/24,B$9&lt;20/24)</formula>
    </cfRule>
    <cfRule type="expression" dxfId="3682" priority="30">
      <formula>AND(B$9&gt;=8/24,B$9&lt;14/24)</formula>
    </cfRule>
    <cfRule type="expression" dxfId="3681" priority="31">
      <formula>B$9&lt;8/24</formula>
    </cfRule>
  </conditionalFormatting>
  <conditionalFormatting sqref="B48:AF53">
    <cfRule type="expression" dxfId="3680" priority="27">
      <formula>B48&gt;$AG48</formula>
    </cfRule>
  </conditionalFormatting>
  <conditionalFormatting sqref="B51:AF53">
    <cfRule type="expression" dxfId="3679" priority="47">
      <formula>B$9&gt;=20/24</formula>
    </cfRule>
    <cfRule type="expression" dxfId="3678" priority="48">
      <formula>AND(B$9&gt;=14/24,B$9&lt;20/24)</formula>
    </cfRule>
    <cfRule type="expression" dxfId="3677" priority="49">
      <formula>AND(B$9&gt;=8/24,B$9&lt;14/24)</formula>
    </cfRule>
    <cfRule type="expression" dxfId="3676" priority="50">
      <formula>B$9&lt;8/24</formula>
    </cfRule>
  </conditionalFormatting>
  <conditionalFormatting sqref="B69:AF71">
    <cfRule type="expression" dxfId="3675" priority="55">
      <formula>B69&gt;$AG69</formula>
    </cfRule>
    <cfRule type="expression" dxfId="3674" priority="56">
      <formula>B$9&gt;=20/24</formula>
    </cfRule>
    <cfRule type="expression" dxfId="3673" priority="57">
      <formula>AND(B$9&gt;=14/24,B$9&lt;20/24)</formula>
    </cfRule>
    <cfRule type="expression" dxfId="3672" priority="58">
      <formula>AND(B$9&gt;=8/24,B$9&lt;14/24)</formula>
    </cfRule>
    <cfRule type="expression" dxfId="3671" priority="59">
      <formula>B$9&lt;8/24</formula>
    </cfRule>
  </conditionalFormatting>
  <conditionalFormatting sqref="B73:AF91">
    <cfRule type="expression" dxfId="3670" priority="1">
      <formula>B$9&gt;=20/24</formula>
    </cfRule>
    <cfRule type="expression" dxfId="3669" priority="2">
      <formula>AND(B$9&gt;=14/24,B$9&lt;20/24)</formula>
    </cfRule>
    <cfRule type="expression" dxfId="3668" priority="3">
      <formula>AND(B$9&gt;=8/24,B$9&lt;14/24)</formula>
    </cfRule>
    <cfRule type="expression" dxfId="3667" priority="4">
      <formula>B$9&lt;8/24</formula>
    </cfRule>
  </conditionalFormatting>
  <conditionalFormatting sqref="B111:AF120">
    <cfRule type="expression" dxfId="3666" priority="14">
      <formula>B$9&gt;=20/24</formula>
    </cfRule>
    <cfRule type="expression" dxfId="3665" priority="15">
      <formula>AND(B$9&gt;=14/24,B$9&lt;20/24)</formula>
    </cfRule>
    <cfRule type="expression" dxfId="3664" priority="16">
      <formula>AND(B$9&gt;=8/24,B$9&lt;14/24)</formula>
    </cfRule>
    <cfRule type="expression" dxfId="3663" priority="17">
      <formula>B$9&lt;8/24</formula>
    </cfRule>
  </conditionalFormatting>
  <conditionalFormatting sqref="B227:AF227 D229:AF230 B229:B235 D231:H231 J231:AF231 D232:AF235 U248:AF248">
    <cfRule type="expression" dxfId="3662" priority="108">
      <formula>B$9&gt;=20/24</formula>
    </cfRule>
    <cfRule type="expression" dxfId="3661" priority="109">
      <formula>AND(B$9&gt;=14/24,B$9&lt;20/24)</formula>
    </cfRule>
    <cfRule type="expression" dxfId="3660" priority="110">
      <formula>AND(B$9&gt;=8/24,B$9&lt;14/24)</formula>
    </cfRule>
    <cfRule type="expression" dxfId="3659" priority="111">
      <formula>B$9&lt;8/24</formula>
    </cfRule>
  </conditionalFormatting>
  <conditionalFormatting sqref="B72:AG72 B67:AG68">
    <cfRule type="expression" dxfId="3658" priority="42">
      <formula>B67&gt;$AG67</formula>
    </cfRule>
  </conditionalFormatting>
  <conditionalFormatting sqref="B72:AG72 B93:AF109">
    <cfRule type="expression" dxfId="3657" priority="43">
      <formula>B$9&gt;=20/24</formula>
    </cfRule>
    <cfRule type="expression" dxfId="3656" priority="44">
      <formula>AND(B$9&gt;=14/24,B$9&lt;20/24)</formula>
    </cfRule>
    <cfRule type="expression" dxfId="3655" priority="45">
      <formula>AND(B$9&gt;=8/24,B$9&lt;14/24)</formula>
    </cfRule>
    <cfRule type="expression" dxfId="3654" priority="46">
      <formula>B$9&lt;8/24</formula>
    </cfRule>
  </conditionalFormatting>
  <conditionalFormatting sqref="N55:AF66">
    <cfRule type="expression" dxfId="3653" priority="5">
      <formula>N55&gt;$AG55</formula>
    </cfRule>
  </conditionalFormatting>
  <conditionalFormatting sqref="D54:AG54">
    <cfRule type="expression" dxfId="3652" priority="76">
      <formula>D54&gt;$AG54</formula>
    </cfRule>
    <cfRule type="expression" dxfId="3651" priority="77">
      <formula>D$9&gt;=20/24</formula>
    </cfRule>
    <cfRule type="expression" dxfId="3650" priority="78">
      <formula>AND(D$9&gt;=14/24,D$9&lt;20/24)</formula>
    </cfRule>
    <cfRule type="expression" dxfId="3649" priority="79">
      <formula>AND(D$9&gt;=8/24,D$9&lt;14/24)</formula>
    </cfRule>
    <cfRule type="expression" dxfId="3648" priority="80">
      <formula>D$9&lt;8/24</formula>
    </cfRule>
  </conditionalFormatting>
  <conditionalFormatting sqref="N55:Y59">
    <cfRule type="expression" dxfId="3647" priority="93">
      <formula>N$9&gt;=20/24</formula>
    </cfRule>
    <cfRule type="expression" dxfId="3646" priority="94">
      <formula>AND(N$9&gt;=14/24,N$9&lt;20/24)</formula>
    </cfRule>
    <cfRule type="expression" dxfId="3645" priority="95">
      <formula>AND(N$9&gt;=8/24,N$9&lt;14/24)</formula>
    </cfRule>
    <cfRule type="expression" dxfId="3644" priority="96">
      <formula>N$9&lt;8/24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643" priority="114">
      <formula>C$9&gt;=20/24</formula>
    </cfRule>
  </conditionalFormatting>
  <conditionalFormatting sqref="S8">
    <cfRule type="expression" dxfId="3642" priority="101">
      <formula>U$9&gt;=20/24</formula>
    </cfRule>
    <cfRule type="expression" dxfId="3641" priority="102">
      <formula>AND(U$9&gt;=14/24,U$9&lt;20/24)</formula>
    </cfRule>
    <cfRule type="expression" dxfId="3640" priority="103">
      <formula>AND(U$9&gt;=8/24,U$9&lt;14/24)</formula>
    </cfRule>
    <cfRule type="expression" dxfId="3639" priority="104">
      <formula>U$9&lt;8/24</formula>
    </cfRule>
  </conditionalFormatting>
  <conditionalFormatting sqref="Z55:AF60">
    <cfRule type="expression" dxfId="3638" priority="10">
      <formula>Z$9&gt;=20/24</formula>
    </cfRule>
    <cfRule type="expression" dxfId="3637" priority="11">
      <formula>AND(Z$9&gt;=14/24,Z$9&lt;20/24)</formula>
    </cfRule>
    <cfRule type="expression" dxfId="3636" priority="12">
      <formula>AND(Z$9&gt;=8/24,Z$9&lt;14/24)</formula>
    </cfRule>
    <cfRule type="expression" dxfId="3635" priority="13">
      <formula>Z$9&lt;8/24</formula>
    </cfRule>
  </conditionalFormatting>
  <conditionalFormatting sqref="T248">
    <cfRule type="expression" dxfId="3634" priority="126">
      <formula>AX$9&gt;=20/24</formula>
    </cfRule>
    <cfRule type="expression" dxfId="3633" priority="127">
      <formula>AND(AX$9&gt;=14/24,AX$9&lt;20/24)</formula>
    </cfRule>
    <cfRule type="expression" dxfId="3632" priority="128">
      <formula>AND(AX$9&gt;=8/24,AX$9&lt;14/24)</formula>
    </cfRule>
    <cfRule type="expression" dxfId="3631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630" priority="97">
      <formula>AD$9&gt;=20/24</formula>
    </cfRule>
    <cfRule type="expression" dxfId="3629" priority="98">
      <formula>AND(AD$9&gt;=14/24,AD$9&lt;20/24)</formula>
    </cfRule>
    <cfRule type="expression" dxfId="3628" priority="99">
      <formula>AND(AD$9&gt;=8/24,AD$9&lt;14/24)</formula>
    </cfRule>
    <cfRule type="expression" dxfId="3627" priority="100">
      <formula>AD$9&lt;8/24</formula>
    </cfRule>
  </conditionalFormatting>
  <conditionalFormatting sqref="AE61:AF66">
    <cfRule type="expression" dxfId="3626" priority="6">
      <formula>AE$9&gt;=20/24</formula>
    </cfRule>
    <cfRule type="expression" dxfId="3625" priority="7">
      <formula>AND(AE$9&gt;=14/24,AE$9&lt;20/24)</formula>
    </cfRule>
    <cfRule type="expression" dxfId="3624" priority="8">
      <formula>AND(AE$9&gt;=8/24,AE$9&lt;14/24)</formula>
    </cfRule>
    <cfRule type="expression" dxfId="3623" priority="9">
      <formula>AE$9&lt;8/24</formula>
    </cfRule>
  </conditionalFormatting>
  <conditionalFormatting sqref="AG50">
    <cfRule type="expression" dxfId="3622" priority="84">
      <formula>AG50&gt;$AG50</formula>
    </cfRule>
  </conditionalFormatting>
  <conditionalFormatting sqref="AG89">
    <cfRule type="expression" dxfId="3621" priority="85">
      <formula>AG$9&gt;=20/24</formula>
    </cfRule>
    <cfRule type="expression" dxfId="3620" priority="86">
      <formula>AND(AG$9&gt;=14/24,AG$9&lt;20/24)</formula>
    </cfRule>
    <cfRule type="expression" dxfId="3619" priority="87">
      <formula>AND(AG$9&gt;=8/24,AG$9&lt;14/24)</formula>
    </cfRule>
    <cfRule type="expression" dxfId="3618" priority="88">
      <formula>AG$9&lt;8/24</formula>
    </cfRule>
  </conditionalFormatting>
  <conditionalFormatting sqref="AG248">
    <cfRule type="expression" dxfId="3617" priority="118">
      <formula>B$9&gt;=20/24</formula>
    </cfRule>
    <cfRule type="expression" dxfId="3616" priority="119">
      <formula>AND(B$9&gt;=14/24,B$9&lt;20/24)</formula>
    </cfRule>
    <cfRule type="expression" dxfId="3615" priority="120">
      <formula>AND(B$9&gt;=8/24,B$9&lt;14/24)</formula>
    </cfRule>
    <cfRule type="expression" dxfId="3614" priority="121">
      <formula>B$9&lt;8/24</formula>
    </cfRule>
  </conditionalFormatting>
  <conditionalFormatting sqref="AH248:AX248">
    <cfRule type="expression" dxfId="3613" priority="122">
      <formula>AG$9&gt;=20/24</formula>
    </cfRule>
    <cfRule type="expression" dxfId="3612" priority="123">
      <formula>AND(AG$9&gt;=14/24,AG$9&lt;20/24)</formula>
    </cfRule>
    <cfRule type="expression" dxfId="3611" priority="124">
      <formula>AND(AG$9&gt;=8/24,AG$9&lt;14/24)</formula>
    </cfRule>
    <cfRule type="expression" dxfId="3610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609" priority="131">
      <formula>AJ$9&gt;=20/24</formula>
    </cfRule>
    <cfRule type="expression" dxfId="3608" priority="132">
      <formula>AND(AJ$9&gt;=14/24,AJ$9&lt;20/24)</formula>
    </cfRule>
    <cfRule type="expression" dxfId="3607" priority="133">
      <formula>AND(AJ$9&gt;=8/24,AJ$9&lt;14/24)</formula>
    </cfRule>
    <cfRule type="expression" dxfId="3606" priority="134">
      <formula>AJ$9&lt;8/24</formula>
    </cfRule>
  </conditionalFormatting>
  <conditionalFormatting sqref="AL80:AN80 AL86:AN86">
    <cfRule type="expression" dxfId="3605" priority="72">
      <formula>AL$9&gt;=20/24</formula>
    </cfRule>
    <cfRule type="expression" dxfId="3604" priority="73">
      <formula>AND(AL$9&gt;=14/24,AL$9&lt;20/24)</formula>
    </cfRule>
    <cfRule type="expression" dxfId="3603" priority="74">
      <formula>AND(AL$9&gt;=8/24,AL$9&lt;14/24)</formula>
    </cfRule>
    <cfRule type="expression" dxfId="3602" priority="75">
      <formula>AL$9&lt;8/24</formula>
    </cfRule>
  </conditionalFormatting>
  <conditionalFormatting sqref="AN81:AN84">
    <cfRule type="expression" dxfId="3601" priority="68">
      <formula>AN$9&gt;=20/24</formula>
    </cfRule>
    <cfRule type="expression" dxfId="3600" priority="69">
      <formula>AND(AN$9&gt;=14/24,AN$9&lt;20/24)</formula>
    </cfRule>
    <cfRule type="expression" dxfId="3599" priority="70">
      <formula>AND(AN$9&gt;=8/24,AN$9&lt;14/24)</formula>
    </cfRule>
    <cfRule type="expression" dxfId="3598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E87D3-A435-408F-99E3-E0F779C38A38}">
  <sheetPr codeName="Sheet25"/>
  <dimension ref="A1:CJ281"/>
  <sheetViews>
    <sheetView workbookViewId="0">
      <pane xSplit="1" ySplit="10" topLeftCell="B73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S83" sqref="S83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.5703125" style="1" customWidth="1"/>
    <col min="12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2080/05/3</v>
      </c>
      <c r="C4" s="201"/>
      <c r="D4" s="201"/>
      <c r="E4" s="202" t="str">
        <f ca="1">"2080/"&amp;"05/"&amp;INT(MID(CELL("filename",G6),FIND("]",CELL("filename",G6))+1,200))</f>
        <v>2080/05/3</v>
      </c>
      <c r="F4" s="202"/>
      <c r="G4" s="202"/>
      <c r="H4" s="202" t="str">
        <f ca="1">TEXT(E4,"dddd")</f>
        <v>Friday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32</v>
      </c>
      <c r="J5" s="30">
        <f t="shared" si="0"/>
        <v>22.4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3.9</v>
      </c>
      <c r="S5" s="30">
        <f t="shared" si="0"/>
        <v>2.6</v>
      </c>
      <c r="T5" s="30">
        <f t="shared" si="0"/>
        <v>1.5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50.5</v>
      </c>
      <c r="Z5" s="30">
        <f t="shared" si="0"/>
        <v>56.5</v>
      </c>
      <c r="AA5" s="30">
        <f t="shared" si="0"/>
        <v>59</v>
      </c>
      <c r="AB5" s="30">
        <f t="shared" si="0"/>
        <v>58.6</v>
      </c>
      <c r="AC5" s="30">
        <f t="shared" si="0"/>
        <v>57</v>
      </c>
      <c r="AD5" s="30">
        <f t="shared" si="0"/>
        <v>56</v>
      </c>
      <c r="AE5" s="30">
        <f t="shared" si="0"/>
        <v>50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2064MW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Load=1928</v>
      </c>
      <c r="B7" s="35">
        <f t="shared" ref="B7:AF7" si="1">B91</f>
        <v>2020.5</v>
      </c>
      <c r="C7" s="35">
        <f t="shared" si="1"/>
        <v>1953.9</v>
      </c>
      <c r="D7" s="35">
        <f t="shared" si="1"/>
        <v>1951.9</v>
      </c>
      <c r="E7" s="35">
        <f t="shared" si="1"/>
        <v>1951.9</v>
      </c>
      <c r="F7" s="35">
        <f t="shared" si="1"/>
        <v>1927.6999999999998</v>
      </c>
      <c r="G7" s="35">
        <f t="shared" si="1"/>
        <v>1962.1</v>
      </c>
      <c r="H7" s="35">
        <f t="shared" si="1"/>
        <v>1992.7399999999998</v>
      </c>
      <c r="I7" s="35">
        <f t="shared" si="1"/>
        <v>1973.7399999999998</v>
      </c>
      <c r="J7" s="35">
        <f t="shared" si="1"/>
        <v>2039.2399999999998</v>
      </c>
      <c r="K7" s="35">
        <f t="shared" si="1"/>
        <v>1972.2400000000002</v>
      </c>
      <c r="L7" s="35">
        <f t="shared" si="1"/>
        <v>1977.8400000000001</v>
      </c>
      <c r="M7" s="35">
        <f t="shared" si="1"/>
        <v>2033.6399999999999</v>
      </c>
      <c r="N7" s="35">
        <f>N91</f>
        <v>2063.94</v>
      </c>
      <c r="O7" s="35">
        <f t="shared" si="1"/>
        <v>2065.64</v>
      </c>
      <c r="P7" s="35">
        <f t="shared" si="1"/>
        <v>2059.34</v>
      </c>
      <c r="Q7" s="35">
        <f t="shared" si="1"/>
        <v>2057.64</v>
      </c>
      <c r="R7" s="35">
        <f t="shared" si="1"/>
        <v>2015.94</v>
      </c>
      <c r="S7" s="35">
        <f t="shared" si="1"/>
        <v>2012.64</v>
      </c>
      <c r="T7" s="35">
        <f t="shared" si="1"/>
        <v>1989.14</v>
      </c>
      <c r="U7" s="35">
        <f t="shared" si="1"/>
        <v>2006.24</v>
      </c>
      <c r="V7" s="35">
        <f t="shared" si="1"/>
        <v>2030.6399999999999</v>
      </c>
      <c r="W7" s="35">
        <f t="shared" si="1"/>
        <v>2030.6399999999999</v>
      </c>
      <c r="X7" s="35">
        <f t="shared" si="1"/>
        <v>2080.54</v>
      </c>
      <c r="Y7" s="35">
        <f t="shared" si="1"/>
        <v>2080.54</v>
      </c>
      <c r="Z7" s="35">
        <f t="shared" si="1"/>
        <v>2204.3399999999997</v>
      </c>
      <c r="AA7" s="35">
        <f t="shared" si="1"/>
        <v>2203.0399999999995</v>
      </c>
      <c r="AB7" s="35">
        <f t="shared" si="1"/>
        <v>2151.8399999999997</v>
      </c>
      <c r="AC7" s="35">
        <f t="shared" si="1"/>
        <v>2032.64</v>
      </c>
      <c r="AD7" s="35">
        <f t="shared" si="1"/>
        <v>2124.94</v>
      </c>
      <c r="AE7" s="35">
        <f t="shared" si="1"/>
        <v>2096.54</v>
      </c>
      <c r="AF7" s="35">
        <f t="shared" si="1"/>
        <v>2072.54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90.1</v>
      </c>
      <c r="C11" s="45">
        <v>90.1</v>
      </c>
      <c r="D11" s="45">
        <v>90.1</v>
      </c>
      <c r="E11" s="45">
        <v>90.1</v>
      </c>
      <c r="F11" s="45">
        <v>90.1</v>
      </c>
      <c r="G11" s="45">
        <v>90.1</v>
      </c>
      <c r="H11" s="45">
        <v>89.7</v>
      </c>
      <c r="I11" s="45">
        <v>89.7</v>
      </c>
      <c r="J11" s="45">
        <v>89.7</v>
      </c>
      <c r="K11" s="45">
        <v>89.7</v>
      </c>
      <c r="L11" s="45">
        <v>89.7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89.9</v>
      </c>
      <c r="S11" s="45">
        <v>89.9</v>
      </c>
      <c r="T11" s="45">
        <v>90</v>
      </c>
      <c r="U11" s="45">
        <v>90</v>
      </c>
      <c r="V11" s="45">
        <v>90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>
        <v>90</v>
      </c>
      <c r="AC11" s="45">
        <v>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90.1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5</v>
      </c>
      <c r="I12" s="45">
        <v>8</v>
      </c>
      <c r="J12" s="45">
        <v>8</v>
      </c>
      <c r="K12" s="45">
        <v>8</v>
      </c>
      <c r="L12" s="45">
        <v>8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28</v>
      </c>
      <c r="C13" s="45">
        <v>28.9</v>
      </c>
      <c r="D13" s="45">
        <v>28.9</v>
      </c>
      <c r="E13" s="45">
        <v>28.9</v>
      </c>
      <c r="F13" s="45">
        <v>28.9</v>
      </c>
      <c r="G13" s="45">
        <v>28.9</v>
      </c>
      <c r="H13" s="45">
        <v>28.8</v>
      </c>
      <c r="I13" s="45">
        <v>28.8</v>
      </c>
      <c r="J13" s="45">
        <v>28.8</v>
      </c>
      <c r="K13" s="45">
        <v>28.8</v>
      </c>
      <c r="L13" s="45">
        <v>28.8</v>
      </c>
      <c r="M13" s="45">
        <v>28.9</v>
      </c>
      <c r="N13" s="45">
        <v>28.9</v>
      </c>
      <c r="O13" s="45">
        <v>28.9</v>
      </c>
      <c r="P13" s="45">
        <v>28.9</v>
      </c>
      <c r="Q13" s="45">
        <v>28.9</v>
      </c>
      <c r="R13" s="45">
        <v>28.9</v>
      </c>
      <c r="S13" s="45">
        <v>28.9</v>
      </c>
      <c r="T13" s="45">
        <v>28.9</v>
      </c>
      <c r="U13" s="45">
        <v>28.9</v>
      </c>
      <c r="V13" s="45">
        <v>28.9</v>
      </c>
      <c r="W13" s="45">
        <v>28.9</v>
      </c>
      <c r="X13" s="45">
        <v>37.5</v>
      </c>
      <c r="Y13" s="45">
        <v>37.5</v>
      </c>
      <c r="Z13" s="45">
        <v>54.4</v>
      </c>
      <c r="AA13" s="45">
        <v>54.4</v>
      </c>
      <c r="AB13" s="45">
        <v>54.4</v>
      </c>
      <c r="AC13" s="45">
        <v>54.4</v>
      </c>
      <c r="AD13" s="45">
        <v>54.4</v>
      </c>
      <c r="AE13" s="45">
        <v>54.4</v>
      </c>
      <c r="AF13" s="45">
        <v>54.4</v>
      </c>
      <c r="AG13" s="46">
        <v>52.4</v>
      </c>
      <c r="AH13" s="47">
        <f t="shared" si="2"/>
        <v>54.4</v>
      </c>
      <c r="AI13" s="48">
        <f t="shared" si="3"/>
        <v>28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50.7</v>
      </c>
      <c r="S14" s="58">
        <v>50.7</v>
      </c>
      <c r="T14" s="58">
        <v>50.7</v>
      </c>
      <c r="U14" s="58">
        <v>50.7</v>
      </c>
      <c r="V14" s="58">
        <v>50.7</v>
      </c>
      <c r="W14" s="58">
        <v>50.7</v>
      </c>
      <c r="X14" s="58">
        <v>50.7</v>
      </c>
      <c r="Y14" s="58">
        <v>50.7</v>
      </c>
      <c r="Z14" s="58">
        <v>50.7</v>
      </c>
      <c r="AA14" s="58">
        <v>50.7</v>
      </c>
      <c r="AB14" s="58">
        <v>50.7</v>
      </c>
      <c r="AC14" s="58">
        <v>50.7</v>
      </c>
      <c r="AD14" s="58">
        <v>50.7</v>
      </c>
      <c r="AE14" s="58">
        <v>50.7</v>
      </c>
      <c r="AF14" s="58">
        <v>50.7</v>
      </c>
      <c r="AG14" s="49">
        <v>50</v>
      </c>
      <c r="AH14" s="47">
        <f t="shared" si="2"/>
        <v>50.7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46.5</v>
      </c>
      <c r="C15" s="45">
        <v>37</v>
      </c>
      <c r="D15" s="45">
        <v>37</v>
      </c>
      <c r="E15" s="45">
        <v>37</v>
      </c>
      <c r="F15" s="45">
        <v>37</v>
      </c>
      <c r="G15" s="45">
        <v>37</v>
      </c>
      <c r="H15" s="45">
        <v>37.799999999999997</v>
      </c>
      <c r="I15" s="45">
        <v>37.799999999999997</v>
      </c>
      <c r="J15" s="45">
        <v>37.799999999999997</v>
      </c>
      <c r="K15" s="45">
        <v>46.9</v>
      </c>
      <c r="L15" s="45">
        <v>46.9</v>
      </c>
      <c r="M15" s="45">
        <v>46.9</v>
      </c>
      <c r="N15" s="45">
        <v>46.9</v>
      </c>
      <c r="O15" s="45">
        <v>46.9</v>
      </c>
      <c r="P15" s="45">
        <v>46.9</v>
      </c>
      <c r="Q15" s="45">
        <v>46.9</v>
      </c>
      <c r="R15" s="45">
        <v>46.9</v>
      </c>
      <c r="S15" s="45">
        <v>46.9</v>
      </c>
      <c r="T15" s="45">
        <v>46.9</v>
      </c>
      <c r="U15" s="45">
        <v>46.9</v>
      </c>
      <c r="V15" s="45">
        <v>46.9</v>
      </c>
      <c r="W15" s="45">
        <v>46.9</v>
      </c>
      <c r="X15" s="45">
        <v>46.9</v>
      </c>
      <c r="Y15" s="45">
        <v>46.9</v>
      </c>
      <c r="Z15" s="45">
        <v>46.9</v>
      </c>
      <c r="AA15" s="45">
        <v>46.9</v>
      </c>
      <c r="AB15" s="45">
        <v>46.9</v>
      </c>
      <c r="AC15" s="45">
        <v>46.9</v>
      </c>
      <c r="AD15" s="45">
        <v>46.9</v>
      </c>
      <c r="AE15" s="45">
        <v>46.9</v>
      </c>
      <c r="AF15" s="45">
        <v>46.9</v>
      </c>
      <c r="AG15" s="49">
        <v>45</v>
      </c>
      <c r="AH15" s="47">
        <f t="shared" si="2"/>
        <v>46.9</v>
      </c>
      <c r="AI15" s="48">
        <f t="shared" si="3"/>
        <v>37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35</v>
      </c>
      <c r="D16" s="45">
        <v>40</v>
      </c>
      <c r="E16" s="45">
        <v>40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35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31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28.7</v>
      </c>
      <c r="I17" s="45">
        <v>28.7</v>
      </c>
      <c r="J17" s="45">
        <v>28.7</v>
      </c>
      <c r="K17" s="45">
        <v>28.7</v>
      </c>
      <c r="L17" s="45">
        <v>28.7</v>
      </c>
      <c r="M17" s="45">
        <v>31</v>
      </c>
      <c r="N17" s="45">
        <v>31</v>
      </c>
      <c r="O17" s="45">
        <v>31</v>
      </c>
      <c r="P17" s="45">
        <v>31</v>
      </c>
      <c r="Q17" s="45">
        <v>31.5</v>
      </c>
      <c r="R17" s="45">
        <v>31</v>
      </c>
      <c r="S17" s="45">
        <v>31</v>
      </c>
      <c r="T17" s="45">
        <v>28</v>
      </c>
      <c r="U17" s="45">
        <v>28</v>
      </c>
      <c r="V17" s="45">
        <v>28</v>
      </c>
      <c r="W17" s="45">
        <v>28</v>
      </c>
      <c r="X17" s="45">
        <v>29</v>
      </c>
      <c r="Y17" s="45">
        <v>29</v>
      </c>
      <c r="Z17" s="45">
        <v>35</v>
      </c>
      <c r="AA17" s="45">
        <v>35</v>
      </c>
      <c r="AB17" s="45">
        <v>26</v>
      </c>
      <c r="AC17" s="45">
        <v>26</v>
      </c>
      <c r="AD17" s="45">
        <v>26</v>
      </c>
      <c r="AE17" s="45">
        <v>26</v>
      </c>
      <c r="AF17" s="45">
        <v>26</v>
      </c>
      <c r="AG17" s="49">
        <v>42</v>
      </c>
      <c r="AH17" s="47">
        <f t="shared" si="2"/>
        <v>35</v>
      </c>
      <c r="AI17" s="48">
        <f t="shared" si="3"/>
        <v>26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38.5</v>
      </c>
      <c r="C18" s="45">
        <v>38.5</v>
      </c>
      <c r="D18" s="45">
        <v>38.5</v>
      </c>
      <c r="E18" s="45">
        <v>38.5</v>
      </c>
      <c r="F18" s="45">
        <v>38.5</v>
      </c>
      <c r="G18" s="45">
        <v>38.5</v>
      </c>
      <c r="H18" s="45">
        <v>38.5</v>
      </c>
      <c r="I18" s="45">
        <v>38.5</v>
      </c>
      <c r="J18" s="45">
        <v>38.5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27</v>
      </c>
      <c r="AE18" s="45">
        <v>27</v>
      </c>
      <c r="AF18" s="45">
        <v>27</v>
      </c>
      <c r="AG18" s="49">
        <v>38.46</v>
      </c>
      <c r="AH18" s="47">
        <f t="shared" si="2"/>
        <v>38.5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10.6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5</v>
      </c>
      <c r="I20" s="45">
        <v>5</v>
      </c>
      <c r="J20" s="45">
        <v>5</v>
      </c>
      <c r="K20" s="45">
        <v>5</v>
      </c>
      <c r="L20" s="45">
        <v>5</v>
      </c>
      <c r="M20" s="45">
        <v>15.9</v>
      </c>
      <c r="N20" s="45">
        <v>15.9</v>
      </c>
      <c r="O20" s="45">
        <v>15.9</v>
      </c>
      <c r="P20" s="45">
        <v>15</v>
      </c>
      <c r="Q20" s="45">
        <v>24.7</v>
      </c>
      <c r="R20" s="45">
        <v>24.7</v>
      </c>
      <c r="S20" s="45">
        <v>24.7</v>
      </c>
      <c r="T20" s="45">
        <v>15</v>
      </c>
      <c r="U20" s="45">
        <v>22.6</v>
      </c>
      <c r="V20" s="45">
        <v>22.6</v>
      </c>
      <c r="W20" s="45">
        <v>22.6</v>
      </c>
      <c r="X20" s="45">
        <v>29.9</v>
      </c>
      <c r="Y20" s="45">
        <v>29.9</v>
      </c>
      <c r="Z20" s="45">
        <v>29.9</v>
      </c>
      <c r="AA20" s="45">
        <v>29.9</v>
      </c>
      <c r="AB20" s="45">
        <v>25.4</v>
      </c>
      <c r="AC20" s="45">
        <v>25.4</v>
      </c>
      <c r="AD20" s="45">
        <v>25.4</v>
      </c>
      <c r="AE20" s="45">
        <v>15</v>
      </c>
      <c r="AF20" s="45">
        <v>10</v>
      </c>
      <c r="AG20" s="51">
        <v>30</v>
      </c>
      <c r="AH20" s="47">
        <f t="shared" si="2"/>
        <v>29.9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20.7</v>
      </c>
      <c r="C21" s="45">
        <v>20.7</v>
      </c>
      <c r="D21" s="45">
        <v>20.7</v>
      </c>
      <c r="E21" s="45">
        <v>20.7</v>
      </c>
      <c r="F21" s="45">
        <v>20.7</v>
      </c>
      <c r="G21" s="45">
        <v>20.7</v>
      </c>
      <c r="H21" s="45">
        <v>20.9</v>
      </c>
      <c r="I21" s="45">
        <v>20.9</v>
      </c>
      <c r="J21" s="45">
        <v>20.9</v>
      </c>
      <c r="K21" s="45">
        <v>25.2</v>
      </c>
      <c r="L21" s="45">
        <v>25.2</v>
      </c>
      <c r="M21" s="45">
        <v>30.1</v>
      </c>
      <c r="N21" s="45">
        <v>30.1</v>
      </c>
      <c r="O21" s="45">
        <v>30.1</v>
      </c>
      <c r="P21" s="45">
        <v>24</v>
      </c>
      <c r="Q21" s="45">
        <v>24</v>
      </c>
      <c r="R21" s="45">
        <v>24</v>
      </c>
      <c r="S21" s="45">
        <v>24</v>
      </c>
      <c r="T21" s="45">
        <v>24</v>
      </c>
      <c r="U21" s="45">
        <v>24</v>
      </c>
      <c r="V21" s="45">
        <v>24</v>
      </c>
      <c r="W21" s="45">
        <v>24</v>
      </c>
      <c r="X21" s="45">
        <v>24</v>
      </c>
      <c r="Y21" s="45">
        <v>24</v>
      </c>
      <c r="Z21" s="45">
        <v>24</v>
      </c>
      <c r="AA21" s="45">
        <v>24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20.7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21.3</v>
      </c>
      <c r="C22" s="45">
        <v>21.3</v>
      </c>
      <c r="D22" s="45">
        <v>21.3</v>
      </c>
      <c r="E22" s="45">
        <v>21.3</v>
      </c>
      <c r="F22" s="45">
        <v>21.3</v>
      </c>
      <c r="G22" s="45">
        <v>21.3</v>
      </c>
      <c r="H22" s="45">
        <v>21.3</v>
      </c>
      <c r="I22" s="45">
        <v>21.3</v>
      </c>
      <c r="J22" s="45">
        <v>21.3</v>
      </c>
      <c r="K22" s="45">
        <v>28.6</v>
      </c>
      <c r="L22" s="45">
        <v>28.6</v>
      </c>
      <c r="M22" s="45">
        <v>28.5</v>
      </c>
      <c r="N22" s="45">
        <v>28.5</v>
      </c>
      <c r="O22" s="45">
        <v>28.5</v>
      </c>
      <c r="P22" s="45">
        <v>28.5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26.5</v>
      </c>
      <c r="AC22" s="45">
        <v>26.5</v>
      </c>
      <c r="AD22" s="45">
        <v>26.5</v>
      </c>
      <c r="AE22" s="45">
        <v>26.5</v>
      </c>
      <c r="AF22" s="45">
        <v>26.5</v>
      </c>
      <c r="AG22" s="49">
        <v>28</v>
      </c>
      <c r="AH22" s="47">
        <f t="shared" si="2"/>
        <v>28.6</v>
      </c>
      <c r="AI22" s="48">
        <f t="shared" si="3"/>
        <v>21.3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9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4</v>
      </c>
      <c r="I23" s="45">
        <v>4</v>
      </c>
      <c r="J23" s="45">
        <v>4</v>
      </c>
      <c r="K23" s="45">
        <v>4</v>
      </c>
      <c r="L23" s="45">
        <v>4</v>
      </c>
      <c r="M23" s="45">
        <v>13.5</v>
      </c>
      <c r="N23" s="45">
        <v>13.5</v>
      </c>
      <c r="O23" s="45">
        <v>13.5</v>
      </c>
      <c r="P23" s="45">
        <v>13.5</v>
      </c>
      <c r="Q23" s="45">
        <v>13.5</v>
      </c>
      <c r="R23" s="45">
        <v>19</v>
      </c>
      <c r="S23" s="45">
        <v>19</v>
      </c>
      <c r="T23" s="45">
        <v>13.5</v>
      </c>
      <c r="U23" s="45">
        <v>20</v>
      </c>
      <c r="V23" s="45">
        <v>20</v>
      </c>
      <c r="W23" s="45">
        <v>20</v>
      </c>
      <c r="X23" s="45">
        <v>20</v>
      </c>
      <c r="Y23" s="45">
        <v>20</v>
      </c>
      <c r="Z23" s="45">
        <v>20</v>
      </c>
      <c r="AA23" s="45">
        <v>20</v>
      </c>
      <c r="AB23" s="45">
        <v>20</v>
      </c>
      <c r="AC23" s="45">
        <v>20</v>
      </c>
      <c r="AD23" s="45">
        <v>20</v>
      </c>
      <c r="AE23" s="45">
        <v>12.5</v>
      </c>
      <c r="AF23" s="45">
        <v>9</v>
      </c>
      <c r="AG23" s="51">
        <v>30</v>
      </c>
      <c r="AH23" s="47">
        <f t="shared" si="2"/>
        <v>20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</v>
      </c>
      <c r="C24" s="45">
        <v>20.6</v>
      </c>
      <c r="D24" s="45">
        <v>20.6</v>
      </c>
      <c r="E24" s="45">
        <v>20.6</v>
      </c>
      <c r="F24" s="45">
        <v>20.6</v>
      </c>
      <c r="G24" s="45">
        <v>24.5</v>
      </c>
      <c r="H24" s="45">
        <v>24.7</v>
      </c>
      <c r="I24" s="45">
        <v>24.7</v>
      </c>
      <c r="J24" s="45">
        <v>24.7</v>
      </c>
      <c r="K24" s="45">
        <v>24.7</v>
      </c>
      <c r="L24" s="45">
        <v>24.7</v>
      </c>
      <c r="M24" s="45">
        <v>25.2</v>
      </c>
      <c r="N24" s="45">
        <v>25.2</v>
      </c>
      <c r="O24" s="45">
        <v>25.2</v>
      </c>
      <c r="P24" s="45">
        <v>25.2</v>
      </c>
      <c r="Q24" s="45">
        <v>25.2</v>
      </c>
      <c r="R24" s="45">
        <v>25.2</v>
      </c>
      <c r="S24" s="45">
        <v>25.2</v>
      </c>
      <c r="T24" s="45">
        <v>25.2</v>
      </c>
      <c r="U24" s="45">
        <v>25.2</v>
      </c>
      <c r="V24" s="45">
        <v>25.2</v>
      </c>
      <c r="W24" s="45">
        <v>25.2</v>
      </c>
      <c r="X24" s="45">
        <v>25.2</v>
      </c>
      <c r="Y24" s="45">
        <v>25.2</v>
      </c>
      <c r="Z24" s="45">
        <v>25.2</v>
      </c>
      <c r="AA24" s="45">
        <v>25.2</v>
      </c>
      <c r="AB24" s="45">
        <v>27</v>
      </c>
      <c r="AC24" s="45">
        <v>27</v>
      </c>
      <c r="AD24" s="45">
        <v>27</v>
      </c>
      <c r="AE24" s="45">
        <v>27</v>
      </c>
      <c r="AF24" s="45">
        <v>27</v>
      </c>
      <c r="AG24" s="49">
        <v>25</v>
      </c>
      <c r="AH24" s="47">
        <f t="shared" si="2"/>
        <v>27</v>
      </c>
      <c r="AI24" s="48">
        <f t="shared" si="3"/>
        <v>20.6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18</v>
      </c>
      <c r="E26" s="45">
        <v>18</v>
      </c>
      <c r="F26" s="45">
        <v>18</v>
      </c>
      <c r="G26" s="45">
        <v>18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18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8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4</v>
      </c>
      <c r="I27" s="45">
        <v>4</v>
      </c>
      <c r="J27" s="45">
        <v>4</v>
      </c>
      <c r="K27" s="45">
        <v>4</v>
      </c>
      <c r="L27" s="45">
        <v>4</v>
      </c>
      <c r="M27" s="45">
        <v>12.5</v>
      </c>
      <c r="N27" s="45">
        <v>12.5</v>
      </c>
      <c r="O27" s="45">
        <v>12.5</v>
      </c>
      <c r="P27" s="45">
        <v>12.5</v>
      </c>
      <c r="Q27" s="45">
        <v>12.5</v>
      </c>
      <c r="R27" s="45">
        <v>17.5</v>
      </c>
      <c r="S27" s="45">
        <v>17.5</v>
      </c>
      <c r="T27" s="45">
        <v>12</v>
      </c>
      <c r="U27" s="45">
        <v>20</v>
      </c>
      <c r="V27" s="45">
        <v>20</v>
      </c>
      <c r="W27" s="45">
        <v>20</v>
      </c>
      <c r="X27" s="45">
        <v>20</v>
      </c>
      <c r="Y27" s="45">
        <v>20</v>
      </c>
      <c r="Z27" s="45">
        <v>20</v>
      </c>
      <c r="AA27" s="45">
        <v>20</v>
      </c>
      <c r="AB27" s="45">
        <v>20</v>
      </c>
      <c r="AC27" s="45">
        <v>20</v>
      </c>
      <c r="AD27" s="45">
        <v>20</v>
      </c>
      <c r="AE27" s="45">
        <v>12.5</v>
      </c>
      <c r="AF27" s="45">
        <v>8</v>
      </c>
      <c r="AG27" s="49">
        <v>25</v>
      </c>
      <c r="AH27" s="47">
        <f t="shared" si="2"/>
        <v>20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0</v>
      </c>
      <c r="AD28" s="45">
        <v>0</v>
      </c>
      <c r="AE28" s="45">
        <v>0</v>
      </c>
      <c r="AF28" s="45">
        <v>0</v>
      </c>
      <c r="AG28" s="49">
        <v>23.5</v>
      </c>
      <c r="AH28" s="47">
        <f t="shared" si="2"/>
        <v>24.8</v>
      </c>
      <c r="AI28" s="48">
        <f t="shared" si="3"/>
        <v>0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22</v>
      </c>
      <c r="Q29" s="45">
        <v>22</v>
      </c>
      <c r="R29" s="45">
        <v>22</v>
      </c>
      <c r="S29" s="45">
        <v>22</v>
      </c>
      <c r="T29" s="45">
        <v>22</v>
      </c>
      <c r="U29" s="45">
        <v>22</v>
      </c>
      <c r="V29" s="45">
        <v>22</v>
      </c>
      <c r="W29" s="45">
        <v>22</v>
      </c>
      <c r="X29" s="45">
        <v>22</v>
      </c>
      <c r="Y29" s="45">
        <v>22</v>
      </c>
      <c r="Z29" s="45">
        <v>22</v>
      </c>
      <c r="AA29" s="45">
        <v>22</v>
      </c>
      <c r="AB29" s="45">
        <v>22</v>
      </c>
      <c r="AC29" s="45">
        <v>22</v>
      </c>
      <c r="AD29" s="45">
        <v>22</v>
      </c>
      <c r="AE29" s="45">
        <v>22</v>
      </c>
      <c r="AF29" s="45">
        <v>22</v>
      </c>
      <c r="AG29" s="49">
        <v>22.2</v>
      </c>
      <c r="AH29" s="47">
        <f t="shared" si="2"/>
        <v>22</v>
      </c>
      <c r="AI29" s="48">
        <f t="shared" si="3"/>
        <v>22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20.3</v>
      </c>
      <c r="C32" s="45">
        <v>20.3</v>
      </c>
      <c r="D32" s="45">
        <v>20.3</v>
      </c>
      <c r="E32" s="45">
        <v>20.3</v>
      </c>
      <c r="F32" s="45">
        <v>20.3</v>
      </c>
      <c r="G32" s="45">
        <v>20.3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20.3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0</v>
      </c>
      <c r="H33" s="45">
        <v>5</v>
      </c>
      <c r="I33" s="45">
        <v>5</v>
      </c>
      <c r="J33" s="45">
        <v>5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8</v>
      </c>
      <c r="Q33" s="45">
        <v>10</v>
      </c>
      <c r="R33" s="45">
        <v>10</v>
      </c>
      <c r="S33" s="45">
        <v>10</v>
      </c>
      <c r="T33" s="45">
        <v>10</v>
      </c>
      <c r="U33" s="45">
        <v>10</v>
      </c>
      <c r="V33" s="45">
        <v>10</v>
      </c>
      <c r="W33" s="45">
        <v>10</v>
      </c>
      <c r="X33" s="45">
        <v>10</v>
      </c>
      <c r="Y33" s="45">
        <v>10</v>
      </c>
      <c r="Z33" s="45">
        <v>10</v>
      </c>
      <c r="AA33" s="45">
        <v>10</v>
      </c>
      <c r="AB33" s="45">
        <v>10</v>
      </c>
      <c r="AC33" s="45">
        <v>7</v>
      </c>
      <c r="AD33" s="45">
        <v>7</v>
      </c>
      <c r="AE33" s="45">
        <v>5</v>
      </c>
      <c r="AF33" s="45">
        <v>0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4</v>
      </c>
      <c r="I34" s="45">
        <v>0</v>
      </c>
      <c r="J34" s="45">
        <v>4</v>
      </c>
      <c r="K34" s="45">
        <v>4</v>
      </c>
      <c r="L34" s="45">
        <v>4</v>
      </c>
      <c r="M34" s="45">
        <v>4</v>
      </c>
      <c r="N34" s="45">
        <v>4</v>
      </c>
      <c r="O34" s="45">
        <v>4</v>
      </c>
      <c r="P34" s="45">
        <v>7</v>
      </c>
      <c r="Q34" s="45">
        <v>7</v>
      </c>
      <c r="R34" s="45">
        <v>7</v>
      </c>
      <c r="S34" s="45">
        <v>7</v>
      </c>
      <c r="T34" s="45">
        <v>7</v>
      </c>
      <c r="U34" s="45">
        <v>7</v>
      </c>
      <c r="V34" s="45">
        <v>6</v>
      </c>
      <c r="W34" s="45">
        <v>6</v>
      </c>
      <c r="X34" s="45">
        <v>6</v>
      </c>
      <c r="Y34" s="45">
        <v>6</v>
      </c>
      <c r="Z34" s="45">
        <v>6</v>
      </c>
      <c r="AA34" s="45">
        <v>6</v>
      </c>
      <c r="AB34" s="45">
        <v>6</v>
      </c>
      <c r="AC34" s="45">
        <v>5</v>
      </c>
      <c r="AD34" s="45">
        <v>5</v>
      </c>
      <c r="AE34" s="45">
        <v>5</v>
      </c>
      <c r="AF34" s="45">
        <v>5</v>
      </c>
      <c r="AG34" s="49">
        <v>18</v>
      </c>
      <c r="AH34" s="47">
        <f t="shared" si="2"/>
        <v>7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15.56</v>
      </c>
      <c r="C35" s="45">
        <v>15.56</v>
      </c>
      <c r="D35" s="45">
        <v>15.56</v>
      </c>
      <c r="E35" s="45">
        <v>15.56</v>
      </c>
      <c r="F35" s="45">
        <v>15.56</v>
      </c>
      <c r="G35" s="45">
        <v>15.56</v>
      </c>
      <c r="H35" s="45">
        <v>15.6</v>
      </c>
      <c r="I35" s="45">
        <v>15.6</v>
      </c>
      <c r="J35" s="45">
        <v>15.6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9">
        <v>14.9</v>
      </c>
      <c r="AH35" s="47">
        <f t="shared" si="2"/>
        <v>15.6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>
        <v>3</v>
      </c>
      <c r="I39" s="45">
        <v>3</v>
      </c>
      <c r="J39" s="45">
        <v>3</v>
      </c>
      <c r="K39" s="45">
        <v>3</v>
      </c>
      <c r="L39" s="45">
        <v>3</v>
      </c>
      <c r="M39" s="45">
        <v>3</v>
      </c>
      <c r="N39" s="45">
        <v>6</v>
      </c>
      <c r="O39" s="45">
        <v>6</v>
      </c>
      <c r="P39" s="45">
        <v>6</v>
      </c>
      <c r="Q39" s="45">
        <v>6</v>
      </c>
      <c r="R39" s="45">
        <v>0</v>
      </c>
      <c r="S39" s="45">
        <v>0</v>
      </c>
      <c r="T39" s="45">
        <v>6</v>
      </c>
      <c r="U39" s="45">
        <v>9</v>
      </c>
      <c r="V39" s="45">
        <v>9</v>
      </c>
      <c r="W39" s="45">
        <v>9</v>
      </c>
      <c r="X39" s="45">
        <v>9</v>
      </c>
      <c r="Y39" s="45">
        <v>9</v>
      </c>
      <c r="Z39" s="45">
        <v>9</v>
      </c>
      <c r="AA39" s="45">
        <v>9</v>
      </c>
      <c r="AB39" s="45">
        <v>9</v>
      </c>
      <c r="AC39" s="45">
        <v>9</v>
      </c>
      <c r="AD39" s="45">
        <v>9</v>
      </c>
      <c r="AE39" s="45">
        <v>9</v>
      </c>
      <c r="AF39" s="45">
        <v>9</v>
      </c>
      <c r="AG39" s="49">
        <v>12</v>
      </c>
      <c r="AH39" s="47">
        <f t="shared" si="2"/>
        <v>9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3</v>
      </c>
      <c r="C40" s="45">
        <v>3</v>
      </c>
      <c r="D40" s="45">
        <v>3</v>
      </c>
      <c r="E40" s="45">
        <v>3</v>
      </c>
      <c r="F40" s="45">
        <v>3</v>
      </c>
      <c r="G40" s="45">
        <v>3</v>
      </c>
      <c r="H40" s="45">
        <v>3</v>
      </c>
      <c r="I40" s="45">
        <v>3</v>
      </c>
      <c r="J40" s="45">
        <v>3</v>
      </c>
      <c r="K40" s="45">
        <v>3</v>
      </c>
      <c r="L40" s="45">
        <v>3</v>
      </c>
      <c r="M40" s="45">
        <v>3</v>
      </c>
      <c r="N40" s="45">
        <v>3</v>
      </c>
      <c r="O40" s="45">
        <v>3</v>
      </c>
      <c r="P40" s="45">
        <v>3</v>
      </c>
      <c r="Q40" s="45">
        <v>3</v>
      </c>
      <c r="R40" s="45">
        <v>3</v>
      </c>
      <c r="S40" s="45">
        <v>3</v>
      </c>
      <c r="T40" s="45">
        <v>3</v>
      </c>
      <c r="U40" s="45">
        <v>3</v>
      </c>
      <c r="V40" s="45">
        <v>3</v>
      </c>
      <c r="W40" s="45">
        <v>3</v>
      </c>
      <c r="X40" s="45">
        <v>3</v>
      </c>
      <c r="Y40" s="45">
        <v>3</v>
      </c>
      <c r="Z40" s="45">
        <v>3</v>
      </c>
      <c r="AA40" s="45">
        <v>3</v>
      </c>
      <c r="AB40" s="45">
        <v>3</v>
      </c>
      <c r="AC40" s="45">
        <v>3</v>
      </c>
      <c r="AD40" s="45">
        <v>3</v>
      </c>
      <c r="AE40" s="45">
        <v>3</v>
      </c>
      <c r="AF40" s="45">
        <v>3</v>
      </c>
      <c r="AG40" s="49">
        <v>12</v>
      </c>
      <c r="AH40" s="47">
        <f t="shared" si="2"/>
        <v>3</v>
      </c>
      <c r="AI40" s="48">
        <f t="shared" si="3"/>
        <v>3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0</v>
      </c>
      <c r="Q45" s="45">
        <v>0</v>
      </c>
      <c r="R45" s="45">
        <v>0</v>
      </c>
      <c r="S45" s="45">
        <v>0</v>
      </c>
      <c r="T45" s="45">
        <v>0</v>
      </c>
      <c r="U45" s="45">
        <v>0</v>
      </c>
      <c r="V45" s="45">
        <v>0</v>
      </c>
      <c r="W45" s="45">
        <v>0</v>
      </c>
      <c r="X45" s="45">
        <v>0</v>
      </c>
      <c r="Y45" s="45">
        <v>0</v>
      </c>
      <c r="Z45" s="45">
        <v>0</v>
      </c>
      <c r="AA45" s="45">
        <v>0</v>
      </c>
      <c r="AB45" s="45">
        <v>0</v>
      </c>
      <c r="AC45" s="45">
        <v>0</v>
      </c>
      <c r="AD45" s="45">
        <v>0</v>
      </c>
      <c r="AE45" s="45">
        <v>0</v>
      </c>
      <c r="AF45" s="45">
        <v>0</v>
      </c>
      <c r="AG45" s="54">
        <v>10</v>
      </c>
      <c r="AH45" s="47">
        <f t="shared" si="2"/>
        <v>9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0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380</v>
      </c>
      <c r="C48" s="56">
        <v>380</v>
      </c>
      <c r="D48" s="56">
        <v>380</v>
      </c>
      <c r="E48" s="56">
        <v>380</v>
      </c>
      <c r="F48" s="56">
        <v>380</v>
      </c>
      <c r="G48" s="56">
        <v>380</v>
      </c>
      <c r="H48" s="56">
        <v>380</v>
      </c>
      <c r="I48" s="56">
        <v>380</v>
      </c>
      <c r="J48" s="56">
        <v>380</v>
      </c>
      <c r="K48" s="56">
        <v>380</v>
      </c>
      <c r="L48" s="56">
        <v>380</v>
      </c>
      <c r="M48" s="56">
        <v>375.6</v>
      </c>
      <c r="N48" s="56">
        <v>375.6</v>
      </c>
      <c r="O48" s="56">
        <v>375.6</v>
      </c>
      <c r="P48" s="56">
        <v>375.6</v>
      </c>
      <c r="Q48" s="56">
        <v>375.6</v>
      </c>
      <c r="R48" s="56">
        <v>375.6</v>
      </c>
      <c r="S48" s="56">
        <v>375.6</v>
      </c>
      <c r="T48" s="56">
        <v>375.6</v>
      </c>
      <c r="U48" s="56">
        <v>375.6</v>
      </c>
      <c r="V48" s="56">
        <v>375.6</v>
      </c>
      <c r="W48" s="56">
        <v>375.6</v>
      </c>
      <c r="X48" s="56">
        <v>375.6</v>
      </c>
      <c r="Y48" s="56">
        <v>375.6</v>
      </c>
      <c r="Z48" s="56">
        <v>375.6</v>
      </c>
      <c r="AA48" s="56">
        <v>375.6</v>
      </c>
      <c r="AB48" s="56">
        <v>375.6</v>
      </c>
      <c r="AC48" s="56">
        <v>375.6</v>
      </c>
      <c r="AD48" s="56">
        <v>375.6</v>
      </c>
      <c r="AE48" s="56">
        <v>375.6</v>
      </c>
      <c r="AF48" s="56">
        <v>375.6</v>
      </c>
      <c r="AG48" s="54">
        <v>85</v>
      </c>
      <c r="AH48" s="47">
        <f t="shared" si="2"/>
        <v>380</v>
      </c>
      <c r="AI48" s="48">
        <f t="shared" si="3"/>
        <v>375.6</v>
      </c>
      <c r="AK48" s="50"/>
    </row>
    <row r="49" spans="1:41" ht="15.75" thickBot="1" x14ac:dyDescent="0.3">
      <c r="A49" s="57" t="s">
        <v>57</v>
      </c>
      <c r="B49" s="56"/>
      <c r="C49" s="56"/>
      <c r="D49" s="56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6"/>
      <c r="AE49" s="56"/>
      <c r="AF49" s="56"/>
      <c r="AG49" s="54">
        <v>240</v>
      </c>
      <c r="AH49" s="47">
        <f t="shared" si="2"/>
        <v>0</v>
      </c>
      <c r="AI49" s="48">
        <f t="shared" si="3"/>
        <v>0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1070.96</v>
      </c>
      <c r="C50" s="60">
        <f t="shared" si="4"/>
        <v>1004.36</v>
      </c>
      <c r="D50" s="60">
        <f t="shared" si="4"/>
        <v>1002.36</v>
      </c>
      <c r="E50" s="60">
        <f t="shared" si="4"/>
        <v>1002.36</v>
      </c>
      <c r="F50" s="60">
        <f t="shared" si="4"/>
        <v>1006.3599999999999</v>
      </c>
      <c r="G50" s="60">
        <f t="shared" si="4"/>
        <v>1005.26</v>
      </c>
      <c r="H50" s="60">
        <f t="shared" si="4"/>
        <v>1042.7</v>
      </c>
      <c r="I50" s="60">
        <f t="shared" si="4"/>
        <v>1041.7</v>
      </c>
      <c r="J50" s="60">
        <f t="shared" si="4"/>
        <v>1045.7</v>
      </c>
      <c r="K50" s="60">
        <f t="shared" si="4"/>
        <v>1003.3000000000001</v>
      </c>
      <c r="L50" s="60">
        <f t="shared" si="4"/>
        <v>1012.3000000000001</v>
      </c>
      <c r="M50" s="60">
        <f t="shared" si="4"/>
        <v>1049.7</v>
      </c>
      <c r="N50" s="60">
        <f t="shared" si="4"/>
        <v>1052.7</v>
      </c>
      <c r="O50" s="60">
        <f t="shared" si="4"/>
        <v>1052.7</v>
      </c>
      <c r="P50" s="60">
        <f t="shared" si="4"/>
        <v>1042.7</v>
      </c>
      <c r="Q50" s="60">
        <f t="shared" si="4"/>
        <v>1054.9000000000001</v>
      </c>
      <c r="R50" s="60">
        <f t="shared" si="4"/>
        <v>1058.9000000000001</v>
      </c>
      <c r="S50" s="60">
        <f t="shared" ref="S50:AC50" si="5">SUM(S11:S48)</f>
        <v>1058.9000000000001</v>
      </c>
      <c r="T50" s="60">
        <f t="shared" si="5"/>
        <v>1041.3000000000002</v>
      </c>
      <c r="U50" s="60">
        <f t="shared" si="5"/>
        <v>1066.4000000000001</v>
      </c>
      <c r="V50" s="60">
        <f t="shared" si="5"/>
        <v>1065.4000000000001</v>
      </c>
      <c r="W50" s="60">
        <f t="shared" si="5"/>
        <v>1065.4000000000001</v>
      </c>
      <c r="X50" s="60">
        <f t="shared" si="5"/>
        <v>1082.3000000000002</v>
      </c>
      <c r="Y50" s="60">
        <f t="shared" si="5"/>
        <v>1082.3000000000002</v>
      </c>
      <c r="Z50" s="60">
        <f t="shared" si="5"/>
        <v>1105.1999999999998</v>
      </c>
      <c r="AA50" s="60">
        <f t="shared" si="5"/>
        <v>1105.1999999999998</v>
      </c>
      <c r="AB50" s="60">
        <f t="shared" si="5"/>
        <v>1100.5999999999999</v>
      </c>
      <c r="AC50" s="60">
        <f t="shared" si="5"/>
        <v>981.80000000000007</v>
      </c>
      <c r="AD50" s="60">
        <f t="shared" si="4"/>
        <v>1098.8000000000002</v>
      </c>
      <c r="AE50" s="60">
        <f t="shared" si="4"/>
        <v>1071.4000000000001</v>
      </c>
      <c r="AF50" s="60">
        <f t="shared" si="4"/>
        <v>1053.4000000000001</v>
      </c>
      <c r="AG50" s="61">
        <f>SUM(AG13:AG48)</f>
        <v>922.14</v>
      </c>
      <c r="AH50" s="47">
        <f t="shared" si="2"/>
        <v>1105.1999999999998</v>
      </c>
      <c r="AI50" s="48">
        <f t="shared" si="3"/>
        <v>981.80000000000007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60</v>
      </c>
      <c r="L52" s="64">
        <v>50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22.5</v>
      </c>
      <c r="O53" s="66">
        <v>22.5</v>
      </c>
      <c r="P53" s="66">
        <v>22.5</v>
      </c>
      <c r="Q53" s="66">
        <v>0</v>
      </c>
      <c r="R53" s="66">
        <v>0</v>
      </c>
      <c r="S53" s="66">
        <v>0</v>
      </c>
      <c r="T53" s="66">
        <v>0</v>
      </c>
      <c r="U53" s="66">
        <v>0</v>
      </c>
      <c r="V53" s="66">
        <v>0</v>
      </c>
      <c r="W53" s="66">
        <v>0</v>
      </c>
      <c r="X53" s="66">
        <v>0</v>
      </c>
      <c r="Y53" s="66">
        <v>0</v>
      </c>
      <c r="Z53" s="66">
        <v>22.5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0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528.4</v>
      </c>
      <c r="C54" s="60">
        <f t="shared" si="6"/>
        <v>528.4</v>
      </c>
      <c r="D54" s="60">
        <f t="shared" si="6"/>
        <v>528.4</v>
      </c>
      <c r="E54" s="60">
        <f t="shared" si="6"/>
        <v>528.4</v>
      </c>
      <c r="F54" s="60">
        <f t="shared" si="6"/>
        <v>528.4</v>
      </c>
      <c r="G54" s="60">
        <f t="shared" si="6"/>
        <v>528.4</v>
      </c>
      <c r="H54" s="60">
        <f t="shared" si="6"/>
        <v>528.4</v>
      </c>
      <c r="I54" s="60">
        <f t="shared" si="6"/>
        <v>528.4</v>
      </c>
      <c r="J54" s="60">
        <f t="shared" si="6"/>
        <v>528.4</v>
      </c>
      <c r="K54" s="60">
        <f t="shared" si="6"/>
        <v>538.4</v>
      </c>
      <c r="L54" s="60">
        <f t="shared" si="6"/>
        <v>528.4</v>
      </c>
      <c r="M54" s="60">
        <f t="shared" si="6"/>
        <v>538.4</v>
      </c>
      <c r="N54" s="60">
        <f t="shared" si="6"/>
        <v>538.5</v>
      </c>
      <c r="O54" s="60">
        <f t="shared" si="6"/>
        <v>538.5</v>
      </c>
      <c r="P54" s="60">
        <f t="shared" si="6"/>
        <v>538.5</v>
      </c>
      <c r="Q54" s="60">
        <f t="shared" si="6"/>
        <v>516</v>
      </c>
      <c r="R54" s="60">
        <f t="shared" si="6"/>
        <v>516</v>
      </c>
      <c r="S54" s="60">
        <f t="shared" ref="S54:AC54" si="7">SUM(S51:S53)</f>
        <v>516</v>
      </c>
      <c r="T54" s="60">
        <f t="shared" si="7"/>
        <v>516</v>
      </c>
      <c r="U54" s="60">
        <f t="shared" si="7"/>
        <v>516</v>
      </c>
      <c r="V54" s="60">
        <f t="shared" si="7"/>
        <v>516</v>
      </c>
      <c r="W54" s="60">
        <f t="shared" si="7"/>
        <v>516</v>
      </c>
      <c r="X54" s="60">
        <f t="shared" si="7"/>
        <v>516</v>
      </c>
      <c r="Y54" s="60">
        <f t="shared" si="7"/>
        <v>516</v>
      </c>
      <c r="Z54" s="60">
        <f t="shared" si="7"/>
        <v>538.5</v>
      </c>
      <c r="AA54" s="60">
        <f t="shared" si="7"/>
        <v>538.5</v>
      </c>
      <c r="AB54" s="60">
        <f t="shared" si="7"/>
        <v>538.5</v>
      </c>
      <c r="AC54" s="60">
        <f t="shared" si="7"/>
        <v>538.5</v>
      </c>
      <c r="AD54" s="60">
        <f t="shared" si="6"/>
        <v>538.5</v>
      </c>
      <c r="AE54" s="60">
        <f t="shared" si="6"/>
        <v>538.5</v>
      </c>
      <c r="AF54" s="60">
        <f t="shared" si="6"/>
        <v>538.5</v>
      </c>
      <c r="AG54" s="61">
        <f t="shared" si="6"/>
        <v>538.1</v>
      </c>
      <c r="AH54" s="47">
        <f t="shared" si="2"/>
        <v>538.5</v>
      </c>
      <c r="AI54" s="48">
        <f t="shared" si="3"/>
        <v>516</v>
      </c>
      <c r="AK54" s="50"/>
    </row>
    <row r="55" spans="1:41" x14ac:dyDescent="0.25">
      <c r="A55" s="44" t="s">
        <v>63</v>
      </c>
      <c r="B55" s="45">
        <v>145</v>
      </c>
      <c r="C55" s="45">
        <v>145</v>
      </c>
      <c r="D55" s="45">
        <v>145</v>
      </c>
      <c r="E55" s="45">
        <v>145</v>
      </c>
      <c r="F55" s="45">
        <v>132.30000000000001</v>
      </c>
      <c r="G55" s="45">
        <v>145</v>
      </c>
      <c r="H55" s="45">
        <v>145</v>
      </c>
      <c r="I55" s="45">
        <v>141.4</v>
      </c>
      <c r="J55" s="45">
        <v>145.4</v>
      </c>
      <c r="K55" s="45">
        <v>145.4</v>
      </c>
      <c r="L55" s="45">
        <v>145.4</v>
      </c>
      <c r="M55" s="45">
        <v>145.69999999999999</v>
      </c>
      <c r="N55" s="45">
        <v>145.69999999999999</v>
      </c>
      <c r="O55" s="45">
        <v>145.4</v>
      </c>
      <c r="P55" s="45">
        <v>146</v>
      </c>
      <c r="Q55" s="45">
        <v>145.4</v>
      </c>
      <c r="R55" s="45">
        <v>145.4</v>
      </c>
      <c r="S55" s="45">
        <v>145.4</v>
      </c>
      <c r="T55" s="45">
        <v>146.1</v>
      </c>
      <c r="U55" s="45">
        <v>146.1</v>
      </c>
      <c r="V55" s="45">
        <v>146.1</v>
      </c>
      <c r="W55" s="45">
        <v>146.1</v>
      </c>
      <c r="X55" s="45">
        <v>146.1</v>
      </c>
      <c r="Y55" s="45">
        <v>146.1</v>
      </c>
      <c r="Z55" s="45">
        <v>146.1</v>
      </c>
      <c r="AA55" s="45">
        <v>146.1</v>
      </c>
      <c r="AB55" s="45">
        <v>146.1</v>
      </c>
      <c r="AC55" s="45">
        <v>146.1</v>
      </c>
      <c r="AD55" s="45">
        <v>146.1</v>
      </c>
      <c r="AE55" s="45">
        <v>146.1</v>
      </c>
      <c r="AF55" s="45">
        <v>146.1</v>
      </c>
      <c r="AG55" s="51">
        <v>144</v>
      </c>
      <c r="AH55" s="47">
        <f t="shared" si="2"/>
        <v>146.1</v>
      </c>
      <c r="AI55" s="48">
        <f t="shared" si="3"/>
        <v>132.30000000000001</v>
      </c>
      <c r="AK55" s="50"/>
    </row>
    <row r="56" spans="1:41" x14ac:dyDescent="0.25">
      <c r="A56" s="53" t="s">
        <v>64</v>
      </c>
      <c r="B56" s="64">
        <v>69</v>
      </c>
      <c r="C56" s="64">
        <v>69</v>
      </c>
      <c r="D56" s="64">
        <v>69</v>
      </c>
      <c r="E56" s="64">
        <v>69</v>
      </c>
      <c r="F56" s="64">
        <v>62.6</v>
      </c>
      <c r="G56" s="64">
        <v>70.3</v>
      </c>
      <c r="H56" s="64">
        <v>65</v>
      </c>
      <c r="I56" s="64">
        <v>59.7</v>
      </c>
      <c r="J56" s="64">
        <v>70.599999999999994</v>
      </c>
      <c r="K56" s="64">
        <v>70.599999999999994</v>
      </c>
      <c r="L56" s="64">
        <v>70.599999999999994</v>
      </c>
      <c r="M56" s="64">
        <v>69.900000000000006</v>
      </c>
      <c r="N56" s="64">
        <v>69.2</v>
      </c>
      <c r="O56" s="64">
        <v>70.599999999999994</v>
      </c>
      <c r="P56" s="64">
        <v>70.5</v>
      </c>
      <c r="Q56" s="64">
        <v>69.599999999999994</v>
      </c>
      <c r="R56" s="64">
        <v>67.5</v>
      </c>
      <c r="S56" s="64">
        <v>67.5</v>
      </c>
      <c r="T56" s="64">
        <v>67.5</v>
      </c>
      <c r="U56" s="64">
        <v>59.6</v>
      </c>
      <c r="V56" s="64">
        <v>59.6</v>
      </c>
      <c r="W56" s="64">
        <v>59.6</v>
      </c>
      <c r="X56" s="64">
        <v>69.8</v>
      </c>
      <c r="Y56" s="64">
        <v>69.8</v>
      </c>
      <c r="Z56" s="64">
        <v>69.8</v>
      </c>
      <c r="AA56" s="64">
        <v>69.8</v>
      </c>
      <c r="AB56" s="64">
        <v>69.8</v>
      </c>
      <c r="AC56" s="64">
        <v>69.8</v>
      </c>
      <c r="AD56" s="64">
        <v>70</v>
      </c>
      <c r="AE56" s="64">
        <v>70</v>
      </c>
      <c r="AF56" s="64">
        <v>70</v>
      </c>
      <c r="AG56" s="54">
        <v>70</v>
      </c>
      <c r="AH56" s="47">
        <f t="shared" si="2"/>
        <v>70.599999999999994</v>
      </c>
      <c r="AI56" s="48">
        <f t="shared" si="3"/>
        <v>59.6</v>
      </c>
      <c r="AK56" s="50"/>
    </row>
    <row r="57" spans="1:41" x14ac:dyDescent="0.25">
      <c r="A57" s="53" t="s">
        <v>65</v>
      </c>
      <c r="B57" s="64">
        <v>60</v>
      </c>
      <c r="C57" s="64">
        <v>60</v>
      </c>
      <c r="D57" s="64">
        <v>60</v>
      </c>
      <c r="E57" s="64">
        <v>60</v>
      </c>
      <c r="F57" s="64">
        <v>60.5</v>
      </c>
      <c r="G57" s="64">
        <v>65</v>
      </c>
      <c r="H57" s="64">
        <v>61.5</v>
      </c>
      <c r="I57" s="64">
        <v>62.2</v>
      </c>
      <c r="J57" s="64">
        <v>66.099999999999994</v>
      </c>
      <c r="K57" s="64">
        <v>66.099999999999994</v>
      </c>
      <c r="L57" s="64">
        <v>66.099999999999994</v>
      </c>
      <c r="M57" s="64">
        <v>65.099999999999994</v>
      </c>
      <c r="N57" s="64">
        <v>65.3</v>
      </c>
      <c r="O57" s="64">
        <v>65.099999999999994</v>
      </c>
      <c r="P57" s="64">
        <v>66.7</v>
      </c>
      <c r="Q57" s="64">
        <v>66.599999999999994</v>
      </c>
      <c r="R57" s="64">
        <v>66.099999999999994</v>
      </c>
      <c r="S57" s="64">
        <v>65.099999999999994</v>
      </c>
      <c r="T57" s="64">
        <v>65.099999999999994</v>
      </c>
      <c r="U57" s="64">
        <v>65.099999999999994</v>
      </c>
      <c r="V57" s="64">
        <v>65.099999999999994</v>
      </c>
      <c r="W57" s="64">
        <v>65.099999999999994</v>
      </c>
      <c r="X57" s="64">
        <v>65.8</v>
      </c>
      <c r="Y57" s="64">
        <v>65.8</v>
      </c>
      <c r="Z57" s="64">
        <v>65.8</v>
      </c>
      <c r="AA57" s="64">
        <v>65.8</v>
      </c>
      <c r="AB57" s="64">
        <v>65.8</v>
      </c>
      <c r="AC57" s="64">
        <v>65.8</v>
      </c>
      <c r="AD57" s="64">
        <v>66</v>
      </c>
      <c r="AE57" s="64">
        <v>66</v>
      </c>
      <c r="AF57" s="64">
        <v>66</v>
      </c>
      <c r="AG57" s="54">
        <v>69</v>
      </c>
      <c r="AH57" s="47">
        <f t="shared" si="2"/>
        <v>66.7</v>
      </c>
      <c r="AI57" s="48">
        <f t="shared" si="3"/>
        <v>60</v>
      </c>
      <c r="AK57" s="50"/>
    </row>
    <row r="58" spans="1:41" x14ac:dyDescent="0.25">
      <c r="A58" s="53" t="s">
        <v>66</v>
      </c>
      <c r="B58" s="64">
        <v>60</v>
      </c>
      <c r="C58" s="64">
        <v>60</v>
      </c>
      <c r="D58" s="64">
        <v>60</v>
      </c>
      <c r="E58" s="64">
        <v>60</v>
      </c>
      <c r="F58" s="64">
        <v>50.4</v>
      </c>
      <c r="G58" s="56">
        <v>61</v>
      </c>
      <c r="H58" s="56">
        <v>60</v>
      </c>
      <c r="I58" s="56">
        <v>50.2</v>
      </c>
      <c r="J58" s="56">
        <v>60.9</v>
      </c>
      <c r="K58" s="56">
        <v>60.9</v>
      </c>
      <c r="L58" s="56">
        <v>60.9</v>
      </c>
      <c r="M58" s="64">
        <v>58.5</v>
      </c>
      <c r="N58" s="64">
        <v>60.4</v>
      </c>
      <c r="O58" s="64">
        <v>58.5</v>
      </c>
      <c r="P58" s="64">
        <v>60.2</v>
      </c>
      <c r="Q58" s="64">
        <v>58.5</v>
      </c>
      <c r="R58" s="64">
        <v>29</v>
      </c>
      <c r="S58" s="64">
        <v>29</v>
      </c>
      <c r="T58" s="64">
        <v>29</v>
      </c>
      <c r="U58" s="64">
        <v>29</v>
      </c>
      <c r="V58" s="64">
        <v>61.4</v>
      </c>
      <c r="W58" s="64">
        <v>61.4</v>
      </c>
      <c r="X58" s="64">
        <v>61.4</v>
      </c>
      <c r="Y58" s="64">
        <v>61.4</v>
      </c>
      <c r="Z58" s="64">
        <v>61.4</v>
      </c>
      <c r="AA58" s="64">
        <v>61.4</v>
      </c>
      <c r="AB58" s="64">
        <v>61.4</v>
      </c>
      <c r="AC58" s="64">
        <v>61.4</v>
      </c>
      <c r="AD58" s="64">
        <v>61.4</v>
      </c>
      <c r="AE58" s="64">
        <v>61.4</v>
      </c>
      <c r="AF58" s="64">
        <v>61.4</v>
      </c>
      <c r="AG58" s="54">
        <v>60</v>
      </c>
      <c r="AH58" s="47">
        <f t="shared" si="2"/>
        <v>61.4</v>
      </c>
      <c r="AI58" s="48">
        <f t="shared" si="3"/>
        <v>29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>
        <v>29</v>
      </c>
      <c r="G59" s="64">
        <v>29</v>
      </c>
      <c r="H59" s="64">
        <v>29</v>
      </c>
      <c r="I59" s="64">
        <v>29</v>
      </c>
      <c r="J59" s="64">
        <v>29</v>
      </c>
      <c r="K59" s="64">
        <v>0</v>
      </c>
      <c r="L59" s="64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64">
        <v>29</v>
      </c>
      <c r="Z59" s="64">
        <v>29</v>
      </c>
      <c r="AA59" s="64">
        <v>29</v>
      </c>
      <c r="AB59" s="64">
        <v>29</v>
      </c>
      <c r="AC59" s="64">
        <v>29</v>
      </c>
      <c r="AD59" s="64">
        <v>29</v>
      </c>
      <c r="AE59" s="64">
        <v>29</v>
      </c>
      <c r="AF59" s="64">
        <v>29</v>
      </c>
      <c r="AG59" s="54">
        <v>30</v>
      </c>
      <c r="AH59" s="47">
        <f t="shared" si="2"/>
        <v>29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12.2</v>
      </c>
      <c r="N60" s="64">
        <v>14</v>
      </c>
      <c r="O60" s="64">
        <v>17.2</v>
      </c>
      <c r="P60" s="64">
        <v>18.600000000000001</v>
      </c>
      <c r="Q60" s="64">
        <v>18.600000000000001</v>
      </c>
      <c r="R60" s="64">
        <v>6.6</v>
      </c>
      <c r="S60" s="64">
        <v>9.9</v>
      </c>
      <c r="T60" s="64">
        <v>4.5999999999999996</v>
      </c>
      <c r="U60" s="64">
        <v>6.1</v>
      </c>
      <c r="V60" s="64">
        <v>0.6</v>
      </c>
      <c r="W60" s="64">
        <v>0.6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18.600000000000001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9</v>
      </c>
      <c r="Y61" s="64">
        <v>9</v>
      </c>
      <c r="Z61" s="64">
        <v>9</v>
      </c>
      <c r="AA61" s="64">
        <v>9</v>
      </c>
      <c r="AB61" s="64">
        <v>9</v>
      </c>
      <c r="AC61" s="64">
        <v>9</v>
      </c>
      <c r="AD61" s="64">
        <v>9</v>
      </c>
      <c r="AE61" s="64">
        <v>9</v>
      </c>
      <c r="AF61" s="64">
        <v>9</v>
      </c>
      <c r="AG61" s="54">
        <v>24</v>
      </c>
      <c r="AH61" s="47">
        <f t="shared" si="2"/>
        <v>16</v>
      </c>
      <c r="AI61" s="48">
        <f t="shared" si="3"/>
        <v>9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5.2</v>
      </c>
      <c r="Q62" s="64">
        <v>5.2</v>
      </c>
      <c r="R62" s="64">
        <v>5.2</v>
      </c>
      <c r="S62" s="64">
        <v>5.2</v>
      </c>
      <c r="T62" s="64">
        <v>5.2</v>
      </c>
      <c r="U62" s="64">
        <v>5.2</v>
      </c>
      <c r="V62" s="64">
        <v>5.2</v>
      </c>
      <c r="W62" s="64">
        <v>5.2</v>
      </c>
      <c r="X62" s="64">
        <v>5.2</v>
      </c>
      <c r="Y62" s="64">
        <v>5.2</v>
      </c>
      <c r="Z62" s="64">
        <v>5.2</v>
      </c>
      <c r="AA62" s="64">
        <v>5.2</v>
      </c>
      <c r="AB62" s="64">
        <v>5.2</v>
      </c>
      <c r="AC62" s="64">
        <v>5.2</v>
      </c>
      <c r="AD62" s="64">
        <v>5.2</v>
      </c>
      <c r="AE62" s="64">
        <v>5.2</v>
      </c>
      <c r="AF62" s="64">
        <v>5.2</v>
      </c>
      <c r="AG62" s="54">
        <v>15</v>
      </c>
      <c r="AH62" s="47">
        <f t="shared" si="2"/>
        <v>5.2</v>
      </c>
      <c r="AI62" s="48">
        <f t="shared" si="3"/>
        <v>5.2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</v>
      </c>
      <c r="C63" s="64">
        <v>11</v>
      </c>
      <c r="D63" s="64">
        <v>11</v>
      </c>
      <c r="E63" s="64">
        <v>11</v>
      </c>
      <c r="F63" s="64">
        <v>11</v>
      </c>
      <c r="G63" s="64">
        <v>11</v>
      </c>
      <c r="H63" s="64">
        <v>11</v>
      </c>
      <c r="I63" s="64">
        <v>11</v>
      </c>
      <c r="J63" s="64">
        <v>11</v>
      </c>
      <c r="K63" s="64">
        <v>11</v>
      </c>
      <c r="L63" s="64">
        <v>11</v>
      </c>
      <c r="M63" s="64">
        <v>11</v>
      </c>
      <c r="N63" s="64">
        <v>11.8</v>
      </c>
      <c r="O63" s="64">
        <v>10.8</v>
      </c>
      <c r="P63" s="64">
        <v>9.4</v>
      </c>
      <c r="Q63" s="64">
        <v>9.4</v>
      </c>
      <c r="R63" s="64">
        <v>10.8</v>
      </c>
      <c r="S63" s="64">
        <v>10.8</v>
      </c>
      <c r="T63" s="64">
        <v>10.8</v>
      </c>
      <c r="U63" s="64">
        <v>10.8</v>
      </c>
      <c r="V63" s="64">
        <v>10.8</v>
      </c>
      <c r="W63" s="64">
        <v>10.8</v>
      </c>
      <c r="X63" s="64">
        <v>10.8</v>
      </c>
      <c r="Y63" s="64">
        <v>10.8</v>
      </c>
      <c r="Z63" s="64">
        <v>10.8</v>
      </c>
      <c r="AA63" s="64">
        <v>10.8</v>
      </c>
      <c r="AB63" s="64">
        <v>10.8</v>
      </c>
      <c r="AC63" s="64">
        <v>10.8</v>
      </c>
      <c r="AD63" s="64">
        <v>10.8</v>
      </c>
      <c r="AE63" s="64">
        <v>10.8</v>
      </c>
      <c r="AF63" s="64">
        <v>10.8</v>
      </c>
      <c r="AG63" s="54">
        <v>14.1</v>
      </c>
      <c r="AH63" s="47">
        <f t="shared" si="2"/>
        <v>11.8</v>
      </c>
      <c r="AI63" s="48">
        <f t="shared" si="3"/>
        <v>9.4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7</v>
      </c>
      <c r="C64" s="64">
        <v>7</v>
      </c>
      <c r="D64" s="64">
        <v>7</v>
      </c>
      <c r="E64" s="64">
        <v>7</v>
      </c>
      <c r="F64" s="64">
        <v>7</v>
      </c>
      <c r="G64" s="64">
        <v>7</v>
      </c>
      <c r="H64" s="64">
        <v>10</v>
      </c>
      <c r="I64" s="64">
        <v>10</v>
      </c>
      <c r="J64" s="64">
        <v>10</v>
      </c>
      <c r="K64" s="64">
        <v>14</v>
      </c>
      <c r="L64" s="64">
        <v>14</v>
      </c>
      <c r="M64" s="64">
        <v>14</v>
      </c>
      <c r="N64" s="64">
        <v>14.8</v>
      </c>
      <c r="O64" s="64">
        <v>14.2</v>
      </c>
      <c r="P64" s="64">
        <v>14.2</v>
      </c>
      <c r="Q64" s="64">
        <v>14.2</v>
      </c>
      <c r="R64" s="64">
        <v>14.2</v>
      </c>
      <c r="S64" s="64">
        <v>14.2</v>
      </c>
      <c r="T64" s="64">
        <v>14.2</v>
      </c>
      <c r="U64" s="64">
        <v>14.2</v>
      </c>
      <c r="V64" s="64">
        <v>14.2</v>
      </c>
      <c r="W64" s="64">
        <v>14.2</v>
      </c>
      <c r="X64" s="64">
        <v>14.2</v>
      </c>
      <c r="Y64" s="64">
        <v>14.2</v>
      </c>
      <c r="Z64" s="64">
        <v>14.2</v>
      </c>
      <c r="AA64" s="64">
        <v>14.2</v>
      </c>
      <c r="AB64" s="64">
        <v>14.2</v>
      </c>
      <c r="AC64" s="64">
        <v>14.2</v>
      </c>
      <c r="AD64" s="64">
        <v>14.2</v>
      </c>
      <c r="AE64" s="64">
        <v>14.2</v>
      </c>
      <c r="AF64" s="64">
        <v>14.2</v>
      </c>
      <c r="AG64" s="54">
        <v>14</v>
      </c>
      <c r="AH64" s="47">
        <f t="shared" si="2"/>
        <v>14.8</v>
      </c>
      <c r="AI64" s="48">
        <f t="shared" si="3"/>
        <v>7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421.14</v>
      </c>
      <c r="C68" s="60">
        <f t="shared" si="8"/>
        <v>421.14</v>
      </c>
      <c r="D68" s="60">
        <f>SUM(D55:D67)</f>
        <v>421.14</v>
      </c>
      <c r="E68" s="60">
        <f t="shared" si="8"/>
        <v>421.14</v>
      </c>
      <c r="F68" s="60">
        <f t="shared" si="8"/>
        <v>392.94</v>
      </c>
      <c r="G68" s="60">
        <f t="shared" si="8"/>
        <v>428.44</v>
      </c>
      <c r="H68" s="60">
        <f t="shared" si="8"/>
        <v>421.64</v>
      </c>
      <c r="I68" s="60">
        <f t="shared" si="8"/>
        <v>403.64</v>
      </c>
      <c r="J68" s="60">
        <f t="shared" si="8"/>
        <v>433.14</v>
      </c>
      <c r="K68" s="60">
        <f t="shared" si="8"/>
        <v>408.14</v>
      </c>
      <c r="L68" s="60">
        <f t="shared" si="8"/>
        <v>437.14</v>
      </c>
      <c r="M68" s="60">
        <f t="shared" si="8"/>
        <v>445.53999999999996</v>
      </c>
      <c r="N68" s="60">
        <f t="shared" si="8"/>
        <v>450.34</v>
      </c>
      <c r="O68" s="60">
        <f t="shared" si="8"/>
        <v>450.94</v>
      </c>
      <c r="P68" s="60">
        <f t="shared" si="8"/>
        <v>454.73999999999995</v>
      </c>
      <c r="Q68" s="60">
        <f t="shared" si="8"/>
        <v>451.44</v>
      </c>
      <c r="R68" s="60">
        <f t="shared" si="8"/>
        <v>408.74</v>
      </c>
      <c r="S68" s="60">
        <f t="shared" ref="S68:AC68" si="9">SUM(S55:S67)</f>
        <v>411.03999999999996</v>
      </c>
      <c r="T68" s="60">
        <f t="shared" si="9"/>
        <v>406.44</v>
      </c>
      <c r="U68" s="60">
        <f t="shared" si="9"/>
        <v>400.03999999999996</v>
      </c>
      <c r="V68" s="60">
        <f t="shared" si="9"/>
        <v>426.93999999999994</v>
      </c>
      <c r="W68" s="60">
        <f t="shared" si="9"/>
        <v>426.93999999999994</v>
      </c>
      <c r="X68" s="60">
        <f t="shared" si="9"/>
        <v>430.23999999999995</v>
      </c>
      <c r="Y68" s="60">
        <f t="shared" si="9"/>
        <v>430.23999999999995</v>
      </c>
      <c r="Z68" s="60">
        <f t="shared" si="9"/>
        <v>430.23999999999995</v>
      </c>
      <c r="AA68" s="60">
        <f t="shared" si="9"/>
        <v>430.23999999999995</v>
      </c>
      <c r="AB68" s="60">
        <f t="shared" si="9"/>
        <v>430.23999999999995</v>
      </c>
      <c r="AC68" s="60">
        <f t="shared" si="9"/>
        <v>430.23999999999995</v>
      </c>
      <c r="AD68" s="60">
        <f t="shared" si="8"/>
        <v>430.64</v>
      </c>
      <c r="AE68" s="60">
        <f t="shared" si="8"/>
        <v>430.64</v>
      </c>
      <c r="AF68" s="60">
        <f t="shared" si="8"/>
        <v>430.64</v>
      </c>
      <c r="AG68" s="61">
        <f t="shared" si="8"/>
        <v>489.91</v>
      </c>
      <c r="AH68" s="47">
        <f t="shared" si="2"/>
        <v>454.73999999999995</v>
      </c>
      <c r="AI68" s="48">
        <f t="shared" si="3"/>
        <v>392.94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>
        <v>14.2</v>
      </c>
      <c r="O69" s="45">
        <v>14.6</v>
      </c>
      <c r="P69" s="45">
        <v>10</v>
      </c>
      <c r="Q69" s="45">
        <v>20</v>
      </c>
      <c r="R69" s="45">
        <v>20</v>
      </c>
      <c r="S69" s="45">
        <v>13.7</v>
      </c>
      <c r="T69" s="45">
        <v>13.7</v>
      </c>
      <c r="U69" s="45">
        <v>13.8</v>
      </c>
      <c r="V69" s="45">
        <v>13.8</v>
      </c>
      <c r="W69" s="45">
        <v>13.8</v>
      </c>
      <c r="X69" s="45">
        <v>30.2</v>
      </c>
      <c r="Y69" s="45">
        <v>30.2</v>
      </c>
      <c r="Z69" s="45">
        <v>45.3</v>
      </c>
      <c r="AA69" s="45">
        <v>45.2</v>
      </c>
      <c r="AB69" s="45">
        <v>13.7</v>
      </c>
      <c r="AC69" s="45">
        <v>13.7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45.3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45"/>
      <c r="F70" s="45"/>
      <c r="G70" s="64"/>
      <c r="H70" s="64"/>
      <c r="I70" s="64"/>
      <c r="J70" s="64"/>
      <c r="K70" s="64"/>
      <c r="L70" s="64"/>
      <c r="M70" s="64"/>
      <c r="N70" s="64">
        <v>6</v>
      </c>
      <c r="O70" s="64">
        <v>6.5</v>
      </c>
      <c r="P70" s="64">
        <v>9.8000000000000007</v>
      </c>
      <c r="Q70" s="64">
        <v>11.2</v>
      </c>
      <c r="R70" s="64">
        <v>9</v>
      </c>
      <c r="S70" s="64">
        <v>6.7</v>
      </c>
      <c r="T70" s="64">
        <v>6.7</v>
      </c>
      <c r="U70" s="64">
        <v>6.2</v>
      </c>
      <c r="V70" s="64">
        <v>6.2</v>
      </c>
      <c r="W70" s="64">
        <v>6.2</v>
      </c>
      <c r="X70" s="64">
        <v>16</v>
      </c>
      <c r="Y70" s="64">
        <v>16</v>
      </c>
      <c r="Z70" s="64">
        <v>25.2</v>
      </c>
      <c r="AA70" s="64">
        <v>20.100000000000001</v>
      </c>
      <c r="AB70" s="64">
        <v>7.2</v>
      </c>
      <c r="AC70" s="64">
        <v>7.2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25.2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45"/>
      <c r="F71" s="45"/>
      <c r="G71" s="66"/>
      <c r="H71" s="66"/>
      <c r="I71" s="66"/>
      <c r="J71" s="66"/>
      <c r="K71" s="66"/>
      <c r="L71" s="66"/>
      <c r="M71" s="66"/>
      <c r="N71" s="66">
        <v>2.2000000000000002</v>
      </c>
      <c r="O71" s="66">
        <v>2.4</v>
      </c>
      <c r="P71" s="66">
        <v>3.6</v>
      </c>
      <c r="Q71" s="66">
        <v>4.0999999999999996</v>
      </c>
      <c r="R71" s="66">
        <v>3.3</v>
      </c>
      <c r="S71" s="66">
        <v>2.4</v>
      </c>
      <c r="T71" s="66">
        <v>2.4</v>
      </c>
      <c r="U71" s="66">
        <v>2.2999999999999998</v>
      </c>
      <c r="V71" s="66">
        <v>2.2999999999999998</v>
      </c>
      <c r="W71" s="66">
        <v>2.2999999999999998</v>
      </c>
      <c r="X71" s="66">
        <v>5.8</v>
      </c>
      <c r="Y71" s="66">
        <v>5.8</v>
      </c>
      <c r="Z71" s="66">
        <v>9.4</v>
      </c>
      <c r="AA71" s="66">
        <v>7.3</v>
      </c>
      <c r="AB71" s="66">
        <v>2.6</v>
      </c>
      <c r="AC71" s="66">
        <v>2.6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9.4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 t="shared" ref="L72:AF72" si="10">L69+L70+L71</f>
        <v>0</v>
      </c>
      <c r="M72" s="60">
        <f t="shared" si="10"/>
        <v>0</v>
      </c>
      <c r="N72" s="60">
        <f t="shared" si="10"/>
        <v>22.4</v>
      </c>
      <c r="O72" s="60">
        <f t="shared" si="10"/>
        <v>23.5</v>
      </c>
      <c r="P72" s="60">
        <f t="shared" si="10"/>
        <v>23.400000000000002</v>
      </c>
      <c r="Q72" s="60">
        <f t="shared" si="10"/>
        <v>35.299999999999997</v>
      </c>
      <c r="R72" s="60">
        <f t="shared" si="10"/>
        <v>32.299999999999997</v>
      </c>
      <c r="S72" s="60">
        <f t="shared" si="10"/>
        <v>22.799999999999997</v>
      </c>
      <c r="T72" s="60">
        <f t="shared" si="10"/>
        <v>22.799999999999997</v>
      </c>
      <c r="U72" s="60">
        <f t="shared" si="10"/>
        <v>22.3</v>
      </c>
      <c r="V72" s="60">
        <f t="shared" si="10"/>
        <v>22.3</v>
      </c>
      <c r="W72" s="60">
        <f t="shared" si="10"/>
        <v>22.3</v>
      </c>
      <c r="X72" s="60">
        <f t="shared" si="10"/>
        <v>52</v>
      </c>
      <c r="Y72" s="60">
        <f t="shared" si="10"/>
        <v>52</v>
      </c>
      <c r="Z72" s="60">
        <f t="shared" si="10"/>
        <v>79.900000000000006</v>
      </c>
      <c r="AA72" s="60">
        <f t="shared" si="10"/>
        <v>72.600000000000009</v>
      </c>
      <c r="AB72" s="60">
        <f t="shared" si="10"/>
        <v>23.5</v>
      </c>
      <c r="AC72" s="60">
        <f t="shared" si="10"/>
        <v>23.5</v>
      </c>
      <c r="AD72" s="60">
        <f t="shared" si="10"/>
        <v>0</v>
      </c>
      <c r="AE72" s="60">
        <f t="shared" si="10"/>
        <v>0</v>
      </c>
      <c r="AF72" s="60">
        <f t="shared" si="10"/>
        <v>0</v>
      </c>
      <c r="AG72" s="61">
        <f>SUM(AG69:AG71)</f>
        <v>106</v>
      </c>
      <c r="AH72" s="47">
        <f t="shared" si="2"/>
        <v>79.900000000000006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-45</v>
      </c>
      <c r="C73" s="45">
        <v>-46.1</v>
      </c>
      <c r="D73" s="45">
        <v>-46.8</v>
      </c>
      <c r="E73" s="45">
        <v>-48.9</v>
      </c>
      <c r="F73" s="45">
        <v>-50.9</v>
      </c>
      <c r="G73" s="45">
        <v>-55.7</v>
      </c>
      <c r="H73" s="45">
        <v>-55.4</v>
      </c>
      <c r="I73" s="45">
        <v>-59.9</v>
      </c>
      <c r="J73" s="45">
        <v>32</v>
      </c>
      <c r="K73" s="45">
        <v>22.4</v>
      </c>
      <c r="L73" s="45">
        <v>-22.8</v>
      </c>
      <c r="M73" s="45">
        <v>-21.1</v>
      </c>
      <c r="N73" s="45">
        <v>-19.8</v>
      </c>
      <c r="O73" s="45">
        <v>-16.5</v>
      </c>
      <c r="P73" s="45">
        <v>-9</v>
      </c>
      <c r="Q73" s="45">
        <v>-8</v>
      </c>
      <c r="R73" s="45">
        <v>-7</v>
      </c>
      <c r="S73" s="45">
        <v>3.9</v>
      </c>
      <c r="T73" s="45">
        <v>2.6</v>
      </c>
      <c r="U73" s="45">
        <v>1.5</v>
      </c>
      <c r="V73" s="45">
        <v>-14.9</v>
      </c>
      <c r="W73" s="45">
        <v>-14.9</v>
      </c>
      <c r="X73" s="45">
        <v>-15.6</v>
      </c>
      <c r="Y73" s="45">
        <v>-15.6</v>
      </c>
      <c r="Z73" s="45">
        <v>50.5</v>
      </c>
      <c r="AA73" s="45">
        <v>56.5</v>
      </c>
      <c r="AB73" s="45">
        <v>59</v>
      </c>
      <c r="AC73" s="45">
        <v>58.6</v>
      </c>
      <c r="AD73" s="45">
        <v>57</v>
      </c>
      <c r="AE73" s="45">
        <v>56</v>
      </c>
      <c r="AF73" s="45">
        <v>50</v>
      </c>
      <c r="AG73" s="51"/>
      <c r="AH73" s="47">
        <f t="shared" si="2"/>
        <v>59</v>
      </c>
      <c r="AI73" s="48">
        <f t="shared" si="3"/>
        <v>-59.9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-385</v>
      </c>
      <c r="C75" s="64">
        <v>-387.1</v>
      </c>
      <c r="D75" s="64">
        <v>-406</v>
      </c>
      <c r="E75" s="64">
        <v>-386.9</v>
      </c>
      <c r="F75" s="64">
        <v>-431</v>
      </c>
      <c r="G75" s="64">
        <v>-448</v>
      </c>
      <c r="H75" s="64">
        <v>-474</v>
      </c>
      <c r="I75" s="64">
        <v>-492</v>
      </c>
      <c r="J75" s="64">
        <v>-481</v>
      </c>
      <c r="K75" s="64">
        <v>-455</v>
      </c>
      <c r="L75" s="64">
        <v>-478</v>
      </c>
      <c r="M75" s="64">
        <v>-365.1</v>
      </c>
      <c r="N75" s="64">
        <v>-405.1</v>
      </c>
      <c r="O75" s="64">
        <v>-401.5</v>
      </c>
      <c r="P75" s="64">
        <v>-440</v>
      </c>
      <c r="Q75" s="64">
        <v>-427.5</v>
      </c>
      <c r="R75" s="64">
        <v>-394.4</v>
      </c>
      <c r="S75" s="64">
        <v>-369.3</v>
      </c>
      <c r="T75" s="64">
        <v>-351</v>
      </c>
      <c r="U75" s="64">
        <v>-392.5</v>
      </c>
      <c r="V75" s="64">
        <v>-425.5</v>
      </c>
      <c r="W75" s="64">
        <v>-425.5</v>
      </c>
      <c r="X75" s="64">
        <v>-427.6</v>
      </c>
      <c r="Y75" s="64">
        <v>-427.6</v>
      </c>
      <c r="Z75" s="64">
        <v>-359.1</v>
      </c>
      <c r="AA75" s="64">
        <v>-400</v>
      </c>
      <c r="AB75" s="64">
        <v>-381</v>
      </c>
      <c r="AC75" s="64">
        <v>-293</v>
      </c>
      <c r="AD75" s="64">
        <v>-443</v>
      </c>
      <c r="AE75" s="64">
        <v>-454</v>
      </c>
      <c r="AF75" s="64">
        <v>-420</v>
      </c>
      <c r="AG75" s="74"/>
      <c r="AH75" s="47">
        <f t="shared" si="2"/>
        <v>-293</v>
      </c>
      <c r="AI75" s="48">
        <f t="shared" si="3"/>
        <v>-492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64"/>
      <c r="AF76" s="64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1">MAX(B77:AF77)</f>
        <v>0</v>
      </c>
      <c r="AI77" s="48">
        <f t="shared" ref="AI77:AI120" si="12">MIN(B77:AF77)</f>
        <v>0</v>
      </c>
      <c r="AK77" s="50"/>
    </row>
    <row r="78" spans="1:40" x14ac:dyDescent="0.25">
      <c r="A78" s="53" t="s">
        <v>86</v>
      </c>
      <c r="B78" s="45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1"/>
        <v>0</v>
      </c>
      <c r="AI78" s="48">
        <f t="shared" si="12"/>
        <v>0</v>
      </c>
      <c r="AK78" s="50"/>
    </row>
    <row r="79" spans="1:40" ht="15.75" thickBot="1" x14ac:dyDescent="0.3">
      <c r="A79" s="53" t="s">
        <v>87</v>
      </c>
      <c r="B79" s="45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1"/>
        <v>0</v>
      </c>
      <c r="AI79" s="48">
        <f t="shared" si="12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1"/>
        <v>0</v>
      </c>
      <c r="AI80" s="48">
        <f t="shared" si="12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1"/>
        <v>0</v>
      </c>
      <c r="AI81" s="48">
        <f t="shared" si="12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1"/>
        <v>0</v>
      </c>
      <c r="AI82" s="48">
        <f t="shared" si="12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1"/>
        <v>0</v>
      </c>
      <c r="AI83" s="48">
        <f t="shared" si="12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3">SUMIF(B73:B83,"&gt;0")</f>
        <v>0</v>
      </c>
      <c r="C84" s="60">
        <f t="shared" si="13"/>
        <v>0</v>
      </c>
      <c r="D84" s="60">
        <f t="shared" si="13"/>
        <v>0</v>
      </c>
      <c r="E84" s="60">
        <f t="shared" si="13"/>
        <v>0</v>
      </c>
      <c r="F84" s="60">
        <f t="shared" si="13"/>
        <v>0</v>
      </c>
      <c r="G84" s="60">
        <f t="shared" si="13"/>
        <v>0</v>
      </c>
      <c r="H84" s="60">
        <f t="shared" si="13"/>
        <v>0</v>
      </c>
      <c r="I84" s="60">
        <f t="shared" si="13"/>
        <v>0</v>
      </c>
      <c r="J84" s="60">
        <f t="shared" si="13"/>
        <v>32</v>
      </c>
      <c r="K84" s="60">
        <f t="shared" si="13"/>
        <v>22.4</v>
      </c>
      <c r="L84" s="60">
        <f t="shared" si="13"/>
        <v>0</v>
      </c>
      <c r="M84" s="60">
        <f t="shared" si="13"/>
        <v>0</v>
      </c>
      <c r="N84" s="60">
        <f t="shared" si="13"/>
        <v>0</v>
      </c>
      <c r="O84" s="60">
        <f t="shared" si="13"/>
        <v>0</v>
      </c>
      <c r="P84" s="60">
        <f t="shared" si="13"/>
        <v>0</v>
      </c>
      <c r="Q84" s="60">
        <f t="shared" si="13"/>
        <v>0</v>
      </c>
      <c r="R84" s="60">
        <f t="shared" si="13"/>
        <v>0</v>
      </c>
      <c r="S84" s="60">
        <f t="shared" ref="S84:AC84" si="14">SUMIF(S73:S83,"&gt;0")</f>
        <v>3.9</v>
      </c>
      <c r="T84" s="60">
        <f t="shared" si="14"/>
        <v>2.6</v>
      </c>
      <c r="U84" s="60">
        <f t="shared" si="14"/>
        <v>1.5</v>
      </c>
      <c r="V84" s="60">
        <f t="shared" si="14"/>
        <v>0</v>
      </c>
      <c r="W84" s="60">
        <f t="shared" si="14"/>
        <v>0</v>
      </c>
      <c r="X84" s="60">
        <f t="shared" si="14"/>
        <v>0</v>
      </c>
      <c r="Y84" s="60">
        <f t="shared" si="14"/>
        <v>0</v>
      </c>
      <c r="Z84" s="60">
        <f t="shared" si="14"/>
        <v>50.5</v>
      </c>
      <c r="AA84" s="60">
        <f t="shared" si="14"/>
        <v>56.5</v>
      </c>
      <c r="AB84" s="60">
        <f t="shared" si="14"/>
        <v>59</v>
      </c>
      <c r="AC84" s="60">
        <f t="shared" si="14"/>
        <v>58.6</v>
      </c>
      <c r="AD84" s="60">
        <f t="shared" si="13"/>
        <v>57</v>
      </c>
      <c r="AE84" s="60">
        <f t="shared" si="13"/>
        <v>56</v>
      </c>
      <c r="AF84" s="60">
        <f t="shared" si="13"/>
        <v>50</v>
      </c>
      <c r="AG84" s="87">
        <f>SUM(AG73:AG83)</f>
        <v>0</v>
      </c>
      <c r="AH84" s="47">
        <f t="shared" si="11"/>
        <v>59</v>
      </c>
      <c r="AI84" s="48">
        <f t="shared" si="12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1"/>
        <v>0</v>
      </c>
      <c r="AI85" s="48">
        <f t="shared" si="12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1"/>
        <v>0</v>
      </c>
      <c r="AI86" s="48">
        <f t="shared" si="12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1"/>
        <v>0</v>
      </c>
      <c r="AI87" s="48">
        <f t="shared" si="12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1"/>
        <v>0</v>
      </c>
      <c r="AI88" s="48">
        <f t="shared" si="12"/>
        <v>0</v>
      </c>
    </row>
    <row r="89" spans="1:40" ht="15.75" thickBot="1" x14ac:dyDescent="0.3">
      <c r="A89" s="73" t="s">
        <v>100</v>
      </c>
      <c r="B89" s="94">
        <f t="shared" ref="B89:AG89" si="15">B50+B54+B72+B68+B84+B88</f>
        <v>2020.5</v>
      </c>
      <c r="C89" s="94">
        <f t="shared" si="15"/>
        <v>1953.9</v>
      </c>
      <c r="D89" s="94">
        <f t="shared" si="15"/>
        <v>1951.9</v>
      </c>
      <c r="E89" s="94">
        <f t="shared" si="15"/>
        <v>1951.9</v>
      </c>
      <c r="F89" s="94">
        <f t="shared" si="15"/>
        <v>1927.6999999999998</v>
      </c>
      <c r="G89" s="94">
        <f t="shared" si="15"/>
        <v>1962.1</v>
      </c>
      <c r="H89" s="94">
        <f t="shared" si="15"/>
        <v>1992.7399999999998</v>
      </c>
      <c r="I89" s="94">
        <f t="shared" si="15"/>
        <v>1973.7399999999998</v>
      </c>
      <c r="J89" s="94">
        <f t="shared" si="15"/>
        <v>2039.2399999999998</v>
      </c>
      <c r="K89" s="94">
        <f t="shared" si="15"/>
        <v>1972.2400000000002</v>
      </c>
      <c r="L89" s="94">
        <f t="shared" si="15"/>
        <v>1977.8400000000001</v>
      </c>
      <c r="M89" s="94">
        <f t="shared" si="15"/>
        <v>2033.6399999999999</v>
      </c>
      <c r="N89" s="94">
        <f t="shared" si="15"/>
        <v>2063.94</v>
      </c>
      <c r="O89" s="94">
        <f t="shared" si="15"/>
        <v>2065.64</v>
      </c>
      <c r="P89" s="94">
        <f t="shared" si="15"/>
        <v>2059.34</v>
      </c>
      <c r="Q89" s="94">
        <f t="shared" si="15"/>
        <v>2057.64</v>
      </c>
      <c r="R89" s="94">
        <f t="shared" si="15"/>
        <v>2015.94</v>
      </c>
      <c r="S89" s="94">
        <f t="shared" ref="S89:AC89" si="16">S50+S54+S72+S68+S84+S88</f>
        <v>2012.64</v>
      </c>
      <c r="T89" s="94">
        <f t="shared" si="16"/>
        <v>1989.14</v>
      </c>
      <c r="U89" s="94">
        <f t="shared" si="16"/>
        <v>2006.24</v>
      </c>
      <c r="V89" s="94">
        <f t="shared" si="16"/>
        <v>2030.6399999999999</v>
      </c>
      <c r="W89" s="94">
        <f t="shared" si="16"/>
        <v>2030.6399999999999</v>
      </c>
      <c r="X89" s="94">
        <f t="shared" si="16"/>
        <v>2080.54</v>
      </c>
      <c r="Y89" s="94">
        <f t="shared" si="16"/>
        <v>2080.54</v>
      </c>
      <c r="Z89" s="94">
        <f t="shared" si="16"/>
        <v>2204.3399999999997</v>
      </c>
      <c r="AA89" s="94">
        <f t="shared" si="16"/>
        <v>2203.0399999999995</v>
      </c>
      <c r="AB89" s="94">
        <f t="shared" si="16"/>
        <v>2151.8399999999997</v>
      </c>
      <c r="AC89" s="94">
        <f t="shared" si="16"/>
        <v>2032.64</v>
      </c>
      <c r="AD89" s="94">
        <f t="shared" si="15"/>
        <v>2124.94</v>
      </c>
      <c r="AE89" s="94">
        <f t="shared" si="15"/>
        <v>2096.54</v>
      </c>
      <c r="AF89" s="94">
        <f t="shared" si="15"/>
        <v>2072.54</v>
      </c>
      <c r="AG89" s="61">
        <f t="shared" si="15"/>
        <v>2111.5500000000002</v>
      </c>
      <c r="AH89" s="47">
        <f t="shared" si="11"/>
        <v>2204.3399999999997</v>
      </c>
      <c r="AI89" s="48">
        <f t="shared" si="12"/>
        <v>1927.6999999999998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1"/>
        <v>0</v>
      </c>
      <c r="AI90" s="48">
        <f t="shared" si="12"/>
        <v>0</v>
      </c>
    </row>
    <row r="91" spans="1:40" ht="15.75" thickBot="1" x14ac:dyDescent="0.3">
      <c r="A91" s="73" t="s">
        <v>102</v>
      </c>
      <c r="B91" s="94">
        <f t="shared" ref="B91:AF91" si="17">B89+B90</f>
        <v>2020.5</v>
      </c>
      <c r="C91" s="94">
        <f t="shared" si="17"/>
        <v>1953.9</v>
      </c>
      <c r="D91" s="94">
        <f t="shared" si="17"/>
        <v>1951.9</v>
      </c>
      <c r="E91" s="94">
        <f t="shared" si="17"/>
        <v>1951.9</v>
      </c>
      <c r="F91" s="94">
        <f t="shared" si="17"/>
        <v>1927.6999999999998</v>
      </c>
      <c r="G91" s="94">
        <f t="shared" si="17"/>
        <v>1962.1</v>
      </c>
      <c r="H91" s="94">
        <f t="shared" si="17"/>
        <v>1992.7399999999998</v>
      </c>
      <c r="I91" s="94">
        <f t="shared" si="17"/>
        <v>1973.7399999999998</v>
      </c>
      <c r="J91" s="94">
        <f t="shared" si="17"/>
        <v>2039.2399999999998</v>
      </c>
      <c r="K91" s="94">
        <f t="shared" si="17"/>
        <v>1972.2400000000002</v>
      </c>
      <c r="L91" s="94">
        <f t="shared" si="17"/>
        <v>1977.8400000000001</v>
      </c>
      <c r="M91" s="94">
        <f t="shared" si="17"/>
        <v>2033.6399999999999</v>
      </c>
      <c r="N91" s="94">
        <f t="shared" si="17"/>
        <v>2063.94</v>
      </c>
      <c r="O91" s="94">
        <f t="shared" si="17"/>
        <v>2065.64</v>
      </c>
      <c r="P91" s="94">
        <f t="shared" si="17"/>
        <v>2059.34</v>
      </c>
      <c r="Q91" s="94">
        <f t="shared" si="17"/>
        <v>2057.64</v>
      </c>
      <c r="R91" s="94">
        <f t="shared" si="17"/>
        <v>2015.94</v>
      </c>
      <c r="S91" s="94">
        <f t="shared" ref="S91:AC91" si="18">S89+S90</f>
        <v>2012.64</v>
      </c>
      <c r="T91" s="94">
        <f t="shared" si="18"/>
        <v>1989.14</v>
      </c>
      <c r="U91" s="94">
        <f t="shared" si="18"/>
        <v>2006.24</v>
      </c>
      <c r="V91" s="94">
        <f t="shared" si="18"/>
        <v>2030.6399999999999</v>
      </c>
      <c r="W91" s="94">
        <f t="shared" si="18"/>
        <v>2030.6399999999999</v>
      </c>
      <c r="X91" s="94">
        <f t="shared" si="18"/>
        <v>2080.54</v>
      </c>
      <c r="Y91" s="94">
        <f t="shared" si="18"/>
        <v>2080.54</v>
      </c>
      <c r="Z91" s="94">
        <f t="shared" si="18"/>
        <v>2204.3399999999997</v>
      </c>
      <c r="AA91" s="94">
        <f t="shared" si="18"/>
        <v>2203.0399999999995</v>
      </c>
      <c r="AB91" s="94">
        <f t="shared" si="18"/>
        <v>2151.8399999999997</v>
      </c>
      <c r="AC91" s="94">
        <f t="shared" si="18"/>
        <v>2032.64</v>
      </c>
      <c r="AD91" s="94">
        <f t="shared" si="17"/>
        <v>2124.94</v>
      </c>
      <c r="AE91" s="94">
        <f t="shared" si="17"/>
        <v>2096.54</v>
      </c>
      <c r="AF91" s="94">
        <f t="shared" si="17"/>
        <v>2072.54</v>
      </c>
      <c r="AG91" s="87">
        <f>AG88+AG84+AG72+AG68+AG50+AG90</f>
        <v>1573.45</v>
      </c>
      <c r="AH91" s="47">
        <f t="shared" si="11"/>
        <v>2204.3399999999997</v>
      </c>
      <c r="AI91" s="48">
        <f t="shared" si="12"/>
        <v>1927.6999999999998</v>
      </c>
    </row>
    <row r="92" spans="1:40" ht="15.75" thickBot="1" x14ac:dyDescent="0.3">
      <c r="A92" s="73" t="s">
        <v>103</v>
      </c>
      <c r="B92" s="94">
        <f>B91-(-B99)</f>
        <v>1635.5</v>
      </c>
      <c r="C92" s="94">
        <f t="shared" ref="C92:AF92" si="19">C91-(-C99)</f>
        <v>1566.8000000000002</v>
      </c>
      <c r="D92" s="94">
        <f t="shared" si="19"/>
        <v>1545.9</v>
      </c>
      <c r="E92" s="94">
        <f t="shared" si="19"/>
        <v>1565</v>
      </c>
      <c r="F92" s="94">
        <f t="shared" si="19"/>
        <v>1496.6999999999998</v>
      </c>
      <c r="G92" s="94">
        <f t="shared" si="19"/>
        <v>1514.1</v>
      </c>
      <c r="H92" s="94">
        <f t="shared" si="19"/>
        <v>1518.7399999999998</v>
      </c>
      <c r="I92" s="94">
        <f t="shared" si="19"/>
        <v>1481.7399999999998</v>
      </c>
      <c r="J92" s="94">
        <f t="shared" si="19"/>
        <v>1558.2399999999998</v>
      </c>
      <c r="K92" s="94">
        <f t="shared" si="19"/>
        <v>1517.2400000000002</v>
      </c>
      <c r="L92" s="94">
        <f t="shared" si="19"/>
        <v>1499.8400000000001</v>
      </c>
      <c r="M92" s="94">
        <f t="shared" si="19"/>
        <v>1668.54</v>
      </c>
      <c r="N92" s="94">
        <f t="shared" si="19"/>
        <v>1658.8400000000001</v>
      </c>
      <c r="O92" s="94">
        <f t="shared" si="19"/>
        <v>1664.1399999999999</v>
      </c>
      <c r="P92" s="94">
        <f t="shared" si="19"/>
        <v>1619.3400000000001</v>
      </c>
      <c r="Q92" s="94">
        <f t="shared" si="19"/>
        <v>1630.1399999999999</v>
      </c>
      <c r="R92" s="94">
        <f t="shared" si="19"/>
        <v>1621.54</v>
      </c>
      <c r="S92" s="94">
        <f t="shared" ref="S92:AC92" si="20">S91-(-S99)</f>
        <v>1643.3400000000001</v>
      </c>
      <c r="T92" s="94">
        <f t="shared" si="20"/>
        <v>1638.14</v>
      </c>
      <c r="U92" s="94">
        <f t="shared" si="20"/>
        <v>1613.74</v>
      </c>
      <c r="V92" s="94">
        <f t="shared" si="20"/>
        <v>1605.1399999999999</v>
      </c>
      <c r="W92" s="94">
        <f t="shared" si="20"/>
        <v>1605.1399999999999</v>
      </c>
      <c r="X92" s="94">
        <f t="shared" si="20"/>
        <v>1652.94</v>
      </c>
      <c r="Y92" s="94">
        <f t="shared" si="20"/>
        <v>1652.94</v>
      </c>
      <c r="Z92" s="94">
        <f t="shared" si="20"/>
        <v>1845.2399999999998</v>
      </c>
      <c r="AA92" s="94">
        <f t="shared" si="20"/>
        <v>1803.0399999999995</v>
      </c>
      <c r="AB92" s="94">
        <f t="shared" si="20"/>
        <v>1770.8399999999997</v>
      </c>
      <c r="AC92" s="94">
        <f t="shared" si="20"/>
        <v>1739.64</v>
      </c>
      <c r="AD92" s="94">
        <f t="shared" si="19"/>
        <v>1681.94</v>
      </c>
      <c r="AE92" s="94">
        <f t="shared" si="19"/>
        <v>1642.54</v>
      </c>
      <c r="AF92" s="94">
        <f t="shared" si="19"/>
        <v>1652.54</v>
      </c>
      <c r="AG92" s="87"/>
      <c r="AH92" s="47">
        <f t="shared" si="11"/>
        <v>1845.2399999999998</v>
      </c>
      <c r="AI92" s="48">
        <f t="shared" si="12"/>
        <v>1481.7399999999998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1"/>
        <v>0</v>
      </c>
      <c r="AI93" s="48">
        <f t="shared" si="12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1"/>
        <v>0</v>
      </c>
      <c r="AI94" s="48">
        <f t="shared" si="12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1"/>
        <v>0</v>
      </c>
      <c r="AI95" s="48">
        <f t="shared" si="12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1"/>
        <v>0</v>
      </c>
      <c r="AI96" s="48">
        <f t="shared" si="12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1"/>
        <v>0</v>
      </c>
      <c r="AI97" s="48">
        <f t="shared" si="12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1"/>
        <v>0</v>
      </c>
      <c r="AI98" s="48">
        <f t="shared" si="12"/>
        <v>0</v>
      </c>
    </row>
    <row r="99" spans="1:37" ht="15.75" thickBot="1" x14ac:dyDescent="0.3">
      <c r="A99" s="98" t="s">
        <v>107</v>
      </c>
      <c r="B99" s="60">
        <f>B75</f>
        <v>-385</v>
      </c>
      <c r="C99" s="60">
        <f t="shared" ref="C99:AF99" si="21">C75</f>
        <v>-387.1</v>
      </c>
      <c r="D99" s="60">
        <f t="shared" si="21"/>
        <v>-406</v>
      </c>
      <c r="E99" s="60">
        <f t="shared" si="21"/>
        <v>-386.9</v>
      </c>
      <c r="F99" s="60">
        <f t="shared" si="21"/>
        <v>-431</v>
      </c>
      <c r="G99" s="60">
        <f t="shared" si="21"/>
        <v>-448</v>
      </c>
      <c r="H99" s="60">
        <f t="shared" si="21"/>
        <v>-474</v>
      </c>
      <c r="I99" s="60">
        <f t="shared" si="21"/>
        <v>-492</v>
      </c>
      <c r="J99" s="60">
        <f t="shared" si="21"/>
        <v>-481</v>
      </c>
      <c r="K99" s="60">
        <f t="shared" si="21"/>
        <v>-455</v>
      </c>
      <c r="L99" s="60">
        <f t="shared" si="21"/>
        <v>-478</v>
      </c>
      <c r="M99" s="60">
        <f t="shared" si="21"/>
        <v>-365.1</v>
      </c>
      <c r="N99" s="60">
        <f t="shared" si="21"/>
        <v>-405.1</v>
      </c>
      <c r="O99" s="60">
        <f t="shared" si="21"/>
        <v>-401.5</v>
      </c>
      <c r="P99" s="60">
        <f t="shared" si="21"/>
        <v>-440</v>
      </c>
      <c r="Q99" s="60">
        <f t="shared" si="21"/>
        <v>-427.5</v>
      </c>
      <c r="R99" s="60">
        <f t="shared" si="21"/>
        <v>-394.4</v>
      </c>
      <c r="S99" s="60">
        <f t="shared" ref="S99:AC99" si="22">S75</f>
        <v>-369.3</v>
      </c>
      <c r="T99" s="60">
        <f t="shared" si="22"/>
        <v>-351</v>
      </c>
      <c r="U99" s="60">
        <f t="shared" si="22"/>
        <v>-392.5</v>
      </c>
      <c r="V99" s="60">
        <f t="shared" si="22"/>
        <v>-425.5</v>
      </c>
      <c r="W99" s="60">
        <f t="shared" si="22"/>
        <v>-425.5</v>
      </c>
      <c r="X99" s="60">
        <f t="shared" si="22"/>
        <v>-427.6</v>
      </c>
      <c r="Y99" s="60">
        <f t="shared" si="22"/>
        <v>-427.6</v>
      </c>
      <c r="Z99" s="60">
        <f t="shared" si="22"/>
        <v>-359.1</v>
      </c>
      <c r="AA99" s="60">
        <f t="shared" si="22"/>
        <v>-400</v>
      </c>
      <c r="AB99" s="60">
        <f t="shared" si="22"/>
        <v>-381</v>
      </c>
      <c r="AC99" s="60">
        <f t="shared" si="22"/>
        <v>-293</v>
      </c>
      <c r="AD99" s="60">
        <f t="shared" si="21"/>
        <v>-443</v>
      </c>
      <c r="AE99" s="60">
        <f t="shared" si="21"/>
        <v>-454</v>
      </c>
      <c r="AF99" s="60">
        <f t="shared" si="21"/>
        <v>-420</v>
      </c>
      <c r="AG99" s="87"/>
      <c r="AH99" s="47">
        <f t="shared" si="11"/>
        <v>-293</v>
      </c>
      <c r="AI99" s="48">
        <f t="shared" si="12"/>
        <v>-492</v>
      </c>
      <c r="AK99" s="50"/>
    </row>
    <row r="100" spans="1:37" ht="15.75" thickBot="1" x14ac:dyDescent="0.3">
      <c r="A100" s="73" t="s">
        <v>108</v>
      </c>
      <c r="B100" s="60">
        <f t="shared" ref="B100:AF100" si="23">B84-B99</f>
        <v>385</v>
      </c>
      <c r="C100" s="60">
        <f t="shared" si="23"/>
        <v>387.1</v>
      </c>
      <c r="D100" s="60">
        <f t="shared" si="23"/>
        <v>406</v>
      </c>
      <c r="E100" s="60">
        <f t="shared" si="23"/>
        <v>386.9</v>
      </c>
      <c r="F100" s="60">
        <f t="shared" si="23"/>
        <v>431</v>
      </c>
      <c r="G100" s="60">
        <f t="shared" si="23"/>
        <v>448</v>
      </c>
      <c r="H100" s="60">
        <f t="shared" si="23"/>
        <v>474</v>
      </c>
      <c r="I100" s="60">
        <f t="shared" si="23"/>
        <v>492</v>
      </c>
      <c r="J100" s="60">
        <f t="shared" si="23"/>
        <v>513</v>
      </c>
      <c r="K100" s="60">
        <f t="shared" si="23"/>
        <v>477.4</v>
      </c>
      <c r="L100" s="60">
        <f t="shared" si="23"/>
        <v>478</v>
      </c>
      <c r="M100" s="60">
        <f t="shared" si="23"/>
        <v>365.1</v>
      </c>
      <c r="N100" s="60">
        <f t="shared" si="23"/>
        <v>405.1</v>
      </c>
      <c r="O100" s="60">
        <f t="shared" si="23"/>
        <v>401.5</v>
      </c>
      <c r="P100" s="60">
        <f t="shared" si="23"/>
        <v>440</v>
      </c>
      <c r="Q100" s="60">
        <f t="shared" si="23"/>
        <v>427.5</v>
      </c>
      <c r="R100" s="60">
        <f t="shared" si="23"/>
        <v>394.4</v>
      </c>
      <c r="S100" s="60">
        <f t="shared" ref="S100:AC100" si="24">S84-S99</f>
        <v>373.2</v>
      </c>
      <c r="T100" s="60">
        <f t="shared" si="24"/>
        <v>353.6</v>
      </c>
      <c r="U100" s="60">
        <f t="shared" si="24"/>
        <v>394</v>
      </c>
      <c r="V100" s="60">
        <f t="shared" si="24"/>
        <v>425.5</v>
      </c>
      <c r="W100" s="60">
        <f t="shared" si="24"/>
        <v>425.5</v>
      </c>
      <c r="X100" s="60">
        <f t="shared" si="24"/>
        <v>427.6</v>
      </c>
      <c r="Y100" s="60">
        <f t="shared" si="24"/>
        <v>427.6</v>
      </c>
      <c r="Z100" s="60">
        <f t="shared" si="24"/>
        <v>409.6</v>
      </c>
      <c r="AA100" s="60">
        <f t="shared" si="24"/>
        <v>456.5</v>
      </c>
      <c r="AB100" s="60">
        <f t="shared" si="24"/>
        <v>440</v>
      </c>
      <c r="AC100" s="60">
        <f t="shared" si="24"/>
        <v>351.6</v>
      </c>
      <c r="AD100" s="60">
        <f t="shared" si="23"/>
        <v>500</v>
      </c>
      <c r="AE100" s="60">
        <f t="shared" si="23"/>
        <v>510</v>
      </c>
      <c r="AF100" s="60">
        <f t="shared" si="23"/>
        <v>470</v>
      </c>
      <c r="AG100" s="87"/>
      <c r="AH100" s="47">
        <f t="shared" si="11"/>
        <v>513</v>
      </c>
      <c r="AI100" s="48">
        <f t="shared" si="12"/>
        <v>351.6</v>
      </c>
    </row>
    <row r="101" spans="1:37" x14ac:dyDescent="0.25">
      <c r="A101" s="99" t="s">
        <v>109</v>
      </c>
      <c r="B101" s="100">
        <v>50.054000000000002</v>
      </c>
      <c r="C101" s="100">
        <v>50.008000000000003</v>
      </c>
      <c r="D101" s="100">
        <v>50.029000000000003</v>
      </c>
      <c r="E101" s="100">
        <v>49.972999999999999</v>
      </c>
      <c r="F101" s="100">
        <v>49.951999999999998</v>
      </c>
      <c r="G101" s="100">
        <v>49.981999999999999</v>
      </c>
      <c r="H101" s="100">
        <v>50</v>
      </c>
      <c r="I101" s="100">
        <v>50.045000000000002</v>
      </c>
      <c r="J101" s="100">
        <v>49.98</v>
      </c>
      <c r="K101" s="100">
        <v>50.53</v>
      </c>
      <c r="L101" s="100">
        <v>50</v>
      </c>
      <c r="M101" s="100">
        <v>50.07</v>
      </c>
      <c r="N101" s="100">
        <v>50.085999999999999</v>
      </c>
      <c r="O101" s="100">
        <v>49.854999999999997</v>
      </c>
      <c r="P101" s="100">
        <v>49.945</v>
      </c>
      <c r="Q101" s="100">
        <v>50.029000000000003</v>
      </c>
      <c r="R101" s="100">
        <v>50.125999999999998</v>
      </c>
      <c r="S101" s="100">
        <v>50.012</v>
      </c>
      <c r="T101" s="100">
        <v>50.027000000000001</v>
      </c>
      <c r="U101" s="100">
        <v>50.02</v>
      </c>
      <c r="V101" s="100">
        <v>49.89</v>
      </c>
      <c r="W101" s="100">
        <v>49.89</v>
      </c>
      <c r="X101" s="100">
        <v>50.024000000000001</v>
      </c>
      <c r="Y101" s="100">
        <v>50.024000000000001</v>
      </c>
      <c r="Z101" s="100">
        <v>49.97</v>
      </c>
      <c r="AA101" s="100">
        <v>50</v>
      </c>
      <c r="AB101" s="100">
        <v>50.008699999999997</v>
      </c>
      <c r="AC101" s="100">
        <v>50.057000000000002</v>
      </c>
      <c r="AD101" s="100">
        <v>49.947000000000003</v>
      </c>
      <c r="AE101" s="100">
        <v>49.947000000000003</v>
      </c>
      <c r="AF101" s="100">
        <v>50.015999999999998</v>
      </c>
      <c r="AG101" s="101"/>
      <c r="AH101" s="47">
        <f t="shared" si="11"/>
        <v>50.53</v>
      </c>
      <c r="AI101" s="48">
        <f t="shared" si="12"/>
        <v>49.854999999999997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1"/>
        <v>0</v>
      </c>
      <c r="AI102" s="48">
        <f t="shared" si="12"/>
        <v>0</v>
      </c>
    </row>
    <row r="103" spans="1:37" x14ac:dyDescent="0.25">
      <c r="A103" s="102" t="s">
        <v>111</v>
      </c>
      <c r="B103" s="64">
        <v>127.7</v>
      </c>
      <c r="C103" s="64">
        <v>127.4</v>
      </c>
      <c r="D103" s="64">
        <v>127</v>
      </c>
      <c r="E103" s="64">
        <v>128.30000000000001</v>
      </c>
      <c r="F103" s="64">
        <v>126.8</v>
      </c>
      <c r="G103" s="64">
        <v>127.6</v>
      </c>
      <c r="H103" s="64">
        <v>127</v>
      </c>
      <c r="I103" s="64">
        <v>127</v>
      </c>
      <c r="J103" s="64">
        <v>126.4</v>
      </c>
      <c r="K103" s="64">
        <v>124.7</v>
      </c>
      <c r="L103" s="64">
        <v>125.8</v>
      </c>
      <c r="M103" s="64">
        <v>123.9</v>
      </c>
      <c r="N103" s="64">
        <v>123.9</v>
      </c>
      <c r="O103" s="64">
        <v>124.1</v>
      </c>
      <c r="P103" s="64">
        <v>125.1</v>
      </c>
      <c r="Q103" s="64">
        <v>124.7</v>
      </c>
      <c r="R103" s="64">
        <v>125.7</v>
      </c>
      <c r="S103" s="64">
        <v>125.3</v>
      </c>
      <c r="T103" s="64">
        <v>125.8</v>
      </c>
      <c r="U103" s="64">
        <v>125.3</v>
      </c>
      <c r="V103" s="64">
        <v>125.3</v>
      </c>
      <c r="W103" s="64">
        <v>125.3</v>
      </c>
      <c r="X103" s="64">
        <v>126.5</v>
      </c>
      <c r="Y103" s="64">
        <v>126.5</v>
      </c>
      <c r="Z103" s="64">
        <v>127.9</v>
      </c>
      <c r="AA103" s="64">
        <v>126.6</v>
      </c>
      <c r="AB103" s="64">
        <v>125.8</v>
      </c>
      <c r="AC103" s="64">
        <v>126.5</v>
      </c>
      <c r="AD103" s="64">
        <v>127</v>
      </c>
      <c r="AE103" s="64">
        <v>127</v>
      </c>
      <c r="AF103" s="64">
        <v>127.6</v>
      </c>
      <c r="AG103" s="103"/>
      <c r="AH103" s="47">
        <f t="shared" si="11"/>
        <v>128.30000000000001</v>
      </c>
      <c r="AI103" s="48">
        <f t="shared" si="12"/>
        <v>123.9</v>
      </c>
    </row>
    <row r="104" spans="1:37" x14ac:dyDescent="0.25">
      <c r="A104" s="102" t="s">
        <v>112</v>
      </c>
      <c r="B104" s="64">
        <v>129</v>
      </c>
      <c r="C104" s="64">
        <v>130.69999999999999</v>
      </c>
      <c r="D104" s="64">
        <v>129.30000000000001</v>
      </c>
      <c r="E104" s="64">
        <v>131</v>
      </c>
      <c r="F104" s="64">
        <v>132.4</v>
      </c>
      <c r="G104" s="64">
        <v>131</v>
      </c>
      <c r="H104" s="64">
        <v>129.9</v>
      </c>
      <c r="I104" s="64">
        <v>129.9</v>
      </c>
      <c r="J104" s="64">
        <v>128.5</v>
      </c>
      <c r="K104" s="64">
        <v>130.4</v>
      </c>
      <c r="L104" s="64">
        <v>127.4</v>
      </c>
      <c r="M104" s="64">
        <v>127.9</v>
      </c>
      <c r="N104" s="64">
        <v>130.19999999999999</v>
      </c>
      <c r="O104" s="64">
        <v>127.6</v>
      </c>
      <c r="P104" s="64">
        <v>128.5</v>
      </c>
      <c r="Q104" s="64">
        <v>129</v>
      </c>
      <c r="R104" s="64">
        <v>128.30000000000001</v>
      </c>
      <c r="S104" s="64">
        <v>128.30000000000001</v>
      </c>
      <c r="T104" s="64">
        <v>127.8</v>
      </c>
      <c r="U104" s="64">
        <v>129.4</v>
      </c>
      <c r="V104" s="64">
        <v>129.4</v>
      </c>
      <c r="W104" s="64">
        <v>129.4</v>
      </c>
      <c r="X104" s="64">
        <v>131.1</v>
      </c>
      <c r="Y104" s="64">
        <v>131.1</v>
      </c>
      <c r="Z104" s="64">
        <v>129</v>
      </c>
      <c r="AA104" s="64">
        <v>126.3</v>
      </c>
      <c r="AB104" s="64">
        <v>127.8</v>
      </c>
      <c r="AC104" s="64">
        <v>126</v>
      </c>
      <c r="AD104" s="64">
        <v>128.19999999999999</v>
      </c>
      <c r="AE104" s="64">
        <v>128.19999999999999</v>
      </c>
      <c r="AF104" s="64">
        <v>128.1</v>
      </c>
      <c r="AG104" s="103"/>
      <c r="AH104" s="47">
        <f t="shared" si="11"/>
        <v>132.4</v>
      </c>
      <c r="AI104" s="48">
        <f t="shared" si="12"/>
        <v>126</v>
      </c>
    </row>
    <row r="105" spans="1:37" x14ac:dyDescent="0.25">
      <c r="A105" s="104" t="s">
        <v>113</v>
      </c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>
        <v>128.4</v>
      </c>
      <c r="AD105" s="64">
        <v>132</v>
      </c>
      <c r="AE105" s="64">
        <v>132</v>
      </c>
      <c r="AF105" s="64">
        <v>132.5</v>
      </c>
      <c r="AG105" s="103"/>
      <c r="AH105" s="47">
        <f t="shared" si="11"/>
        <v>132.5</v>
      </c>
      <c r="AI105" s="48">
        <f t="shared" si="12"/>
        <v>128.4</v>
      </c>
    </row>
    <row r="106" spans="1:37" x14ac:dyDescent="0.25">
      <c r="A106" s="104" t="s">
        <v>114</v>
      </c>
      <c r="B106" s="105">
        <v>134</v>
      </c>
      <c r="C106" s="105">
        <v>131.19999999999999</v>
      </c>
      <c r="D106" s="105">
        <v>131.80000000000001</v>
      </c>
      <c r="E106" s="105">
        <v>131.9</v>
      </c>
      <c r="F106" s="105">
        <v>131.19999999999999</v>
      </c>
      <c r="G106" s="105">
        <v>134</v>
      </c>
      <c r="H106" s="105">
        <v>131.69999999999999</v>
      </c>
      <c r="I106" s="105">
        <v>131.69999999999999</v>
      </c>
      <c r="J106" s="105">
        <v>131.9</v>
      </c>
      <c r="K106" s="105">
        <v>131.9</v>
      </c>
      <c r="L106" s="105">
        <v>133</v>
      </c>
      <c r="M106" s="105">
        <v>132.30000000000001</v>
      </c>
      <c r="N106" s="105">
        <v>130.9</v>
      </c>
      <c r="O106" s="105">
        <v>133.9</v>
      </c>
      <c r="P106" s="105">
        <v>132.5</v>
      </c>
      <c r="Q106" s="105">
        <v>133.80000000000001</v>
      </c>
      <c r="R106" s="105">
        <v>134.1</v>
      </c>
      <c r="S106" s="105">
        <v>132.5</v>
      </c>
      <c r="T106" s="105">
        <v>132.1</v>
      </c>
      <c r="U106" s="105">
        <v>133.1</v>
      </c>
      <c r="V106" s="105">
        <v>133.1</v>
      </c>
      <c r="W106" s="105">
        <v>133.1</v>
      </c>
      <c r="X106" s="105">
        <v>129.1</v>
      </c>
      <c r="Y106" s="105">
        <v>129.1</v>
      </c>
      <c r="Z106" s="105">
        <v>132.6</v>
      </c>
      <c r="AA106" s="105">
        <v>131.30000000000001</v>
      </c>
      <c r="AB106" s="105">
        <v>131</v>
      </c>
      <c r="AC106" s="105">
        <v>130.69999999999999</v>
      </c>
      <c r="AD106" s="105">
        <v>133.1</v>
      </c>
      <c r="AE106" s="105">
        <v>133.1</v>
      </c>
      <c r="AF106" s="105">
        <v>130.80000000000001</v>
      </c>
      <c r="AG106" s="106"/>
      <c r="AH106" s="47">
        <f t="shared" si="11"/>
        <v>134.1</v>
      </c>
      <c r="AI106" s="48">
        <f t="shared" si="12"/>
        <v>129.1</v>
      </c>
    </row>
    <row r="107" spans="1:37" x14ac:dyDescent="0.25">
      <c r="A107" s="102" t="s">
        <v>115</v>
      </c>
      <c r="B107" s="64">
        <v>132.6</v>
      </c>
      <c r="C107" s="64">
        <v>129.6</v>
      </c>
      <c r="D107" s="64">
        <v>130.19999999999999</v>
      </c>
      <c r="E107" s="64">
        <v>131</v>
      </c>
      <c r="F107" s="64">
        <v>129.19999999999999</v>
      </c>
      <c r="G107" s="64">
        <v>134</v>
      </c>
      <c r="H107" s="64">
        <v>132.9</v>
      </c>
      <c r="I107" s="64">
        <v>132.9</v>
      </c>
      <c r="J107" s="64">
        <v>131</v>
      </c>
      <c r="K107" s="64">
        <v>134</v>
      </c>
      <c r="L107" s="64">
        <v>135</v>
      </c>
      <c r="M107" s="64">
        <v>130.4</v>
      </c>
      <c r="N107" s="64">
        <v>131.19999999999999</v>
      </c>
      <c r="O107" s="64">
        <v>133.5</v>
      </c>
      <c r="P107" s="64">
        <v>133.30000000000001</v>
      </c>
      <c r="Q107" s="64">
        <v>133.6</v>
      </c>
      <c r="R107" s="64">
        <v>131.4</v>
      </c>
      <c r="S107" s="64">
        <v>132.80000000000001</v>
      </c>
      <c r="T107" s="64">
        <v>129.9</v>
      </c>
      <c r="U107" s="64">
        <v>132.1</v>
      </c>
      <c r="V107" s="64">
        <v>132.1</v>
      </c>
      <c r="W107" s="64">
        <v>132.1</v>
      </c>
      <c r="X107" s="64">
        <v>129.30000000000001</v>
      </c>
      <c r="Y107" s="64">
        <v>129.30000000000001</v>
      </c>
      <c r="Z107" s="64">
        <v>129.9</v>
      </c>
      <c r="AA107" s="64">
        <v>130.69999999999999</v>
      </c>
      <c r="AB107" s="64">
        <v>130</v>
      </c>
      <c r="AC107" s="64">
        <v>128.30000000000001</v>
      </c>
      <c r="AD107" s="64">
        <v>134.1</v>
      </c>
      <c r="AE107" s="64">
        <v>134.1</v>
      </c>
      <c r="AF107" s="64">
        <v>129.6</v>
      </c>
      <c r="AG107" s="103"/>
      <c r="AH107" s="47">
        <f t="shared" si="11"/>
        <v>135</v>
      </c>
      <c r="AI107" s="48">
        <f t="shared" si="12"/>
        <v>128.30000000000001</v>
      </c>
    </row>
    <row r="108" spans="1:37" ht="15.75" thickBot="1" x14ac:dyDescent="0.3">
      <c r="A108" s="102" t="s">
        <v>116</v>
      </c>
      <c r="B108" s="91">
        <v>64.2</v>
      </c>
      <c r="C108" s="91">
        <v>64.2</v>
      </c>
      <c r="D108" s="91">
        <v>63.9</v>
      </c>
      <c r="E108" s="91">
        <v>64.599999999999994</v>
      </c>
      <c r="F108" s="91">
        <v>64</v>
      </c>
      <c r="G108" s="91">
        <v>64.3</v>
      </c>
      <c r="H108" s="91">
        <v>64</v>
      </c>
      <c r="I108" s="91">
        <v>64</v>
      </c>
      <c r="J108" s="91">
        <v>63.9</v>
      </c>
      <c r="K108" s="91">
        <v>62.6</v>
      </c>
      <c r="L108" s="91">
        <v>63.4</v>
      </c>
      <c r="M108" s="91">
        <v>62</v>
      </c>
      <c r="N108" s="91">
        <v>62.2</v>
      </c>
      <c r="O108" s="91">
        <v>62</v>
      </c>
      <c r="P108" s="91">
        <v>62.5</v>
      </c>
      <c r="Q108" s="91">
        <v>62.4</v>
      </c>
      <c r="R108" s="91">
        <v>62.8</v>
      </c>
      <c r="S108" s="91">
        <v>62.8</v>
      </c>
      <c r="T108" s="91">
        <v>62.8</v>
      </c>
      <c r="U108" s="91">
        <v>62.9</v>
      </c>
      <c r="V108" s="91">
        <v>62.9</v>
      </c>
      <c r="W108" s="91">
        <v>62.9</v>
      </c>
      <c r="X108" s="91">
        <v>62.9</v>
      </c>
      <c r="Y108" s="91">
        <v>62.9</v>
      </c>
      <c r="Z108" s="91">
        <v>64.3</v>
      </c>
      <c r="AA108" s="91">
        <v>64.2</v>
      </c>
      <c r="AB108" s="91">
        <v>63.5</v>
      </c>
      <c r="AC108" s="91">
        <v>63.9</v>
      </c>
      <c r="AD108" s="91">
        <v>64.2</v>
      </c>
      <c r="AE108" s="91">
        <v>64.2</v>
      </c>
      <c r="AF108" s="91">
        <v>64.3</v>
      </c>
      <c r="AG108" s="107"/>
      <c r="AH108" s="47">
        <f t="shared" si="11"/>
        <v>64.599999999999994</v>
      </c>
      <c r="AI108" s="48">
        <f t="shared" si="12"/>
        <v>62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1"/>
        <v>0</v>
      </c>
      <c r="AI109" s="48">
        <f t="shared" si="12"/>
        <v>0</v>
      </c>
    </row>
    <row r="110" spans="1:37" ht="15.75" thickBot="1" x14ac:dyDescent="0.3">
      <c r="A110" s="109" t="s">
        <v>118</v>
      </c>
      <c r="B110" s="110">
        <f t="shared" ref="B110:O110" si="25">SUM(B20,B26,B29:B30,B58,B60:B61,B63,B65,B111:B115,B138,B144,B150,B159,B161,B173,B180,B183:B184,B191,B193,B195,B199:B201,B203:B205,B210,B216:B217,B219:B221,B229,B234)</f>
        <v>92.899999999999977</v>
      </c>
      <c r="C110" s="110">
        <f>SUM(C20,C26,C29:C30,D58,D60:D61,D63,D65,C111:C115,C138,C144,C150,C159,C161,C173,C180,C183:C184,C191,C193,C195,C199:C201,C203:C205,C210,C216:C217,C219:C221,C229,C234)</f>
        <v>19.739999999999984</v>
      </c>
      <c r="D110" s="110">
        <f>SUM(D20,D26,D29:D30,E58,E60:E61,E63,E65,D111:D115,D138,D144,D150,D159,D161,D173,D180,D183:D184,D191,D193,D195,D199:D201,D203:D205,D210,D216:D217,D219:D221,D229,D234)</f>
        <v>40.64</v>
      </c>
      <c r="E110" s="110">
        <f t="shared" si="25"/>
        <v>59.139999999999979</v>
      </c>
      <c r="F110" s="110">
        <f t="shared" si="25"/>
        <v>37.539999999999971</v>
      </c>
      <c r="G110" s="110">
        <f t="shared" si="25"/>
        <v>52.739999999999995</v>
      </c>
      <c r="H110" s="110">
        <f t="shared" si="25"/>
        <v>64.139999999999958</v>
      </c>
      <c r="I110" s="110">
        <f t="shared" si="25"/>
        <v>104.33999999999997</v>
      </c>
      <c r="J110" s="110">
        <f t="shared" si="25"/>
        <v>134.83999999999997</v>
      </c>
      <c r="K110" s="110">
        <f t="shared" si="25"/>
        <v>119.23999999999998</v>
      </c>
      <c r="L110" s="110">
        <f t="shared" si="25"/>
        <v>161.83999999999997</v>
      </c>
      <c r="M110" s="110">
        <f t="shared" si="25"/>
        <v>314.84000000000003</v>
      </c>
      <c r="N110" s="110">
        <f t="shared" si="25"/>
        <v>335.54</v>
      </c>
      <c r="O110" s="110">
        <f t="shared" si="25"/>
        <v>331.84</v>
      </c>
      <c r="P110" s="110">
        <v>42</v>
      </c>
      <c r="Q110" s="110">
        <f t="shared" ref="Q110:AC110" si="26">SUM(Q20,Q26,Q29:Q30,Q58,Q60:Q61,Q63,Q65,Q111:Q115,Q138,Q144,Q150,Q159,Q161,Q173,Q180,Q183:Q184,Q191,Q193,Q195,Q199:Q201,Q203:Q205,Q210,Q216:Q217,Q219:Q221,Q229,Q234)</f>
        <v>342.69999999999993</v>
      </c>
      <c r="R110" s="110">
        <f t="shared" si="26"/>
        <v>310.5</v>
      </c>
      <c r="S110" s="110">
        <f t="shared" si="26"/>
        <v>209.20000000000002</v>
      </c>
      <c r="T110" s="110">
        <f t="shared" si="26"/>
        <v>199.39999999999998</v>
      </c>
      <c r="U110" s="110">
        <f t="shared" si="26"/>
        <v>210.90000000000003</v>
      </c>
      <c r="V110" s="110">
        <f t="shared" si="26"/>
        <v>224.79999999999995</v>
      </c>
      <c r="W110" s="110">
        <f t="shared" si="26"/>
        <v>224.79999999999995</v>
      </c>
      <c r="X110" s="110">
        <f t="shared" si="26"/>
        <v>244.29000000000002</v>
      </c>
      <c r="Y110" s="110">
        <f t="shared" si="26"/>
        <v>244.29000000000002</v>
      </c>
      <c r="Z110" s="110">
        <f t="shared" si="26"/>
        <v>249.39999999999998</v>
      </c>
      <c r="AA110" s="110">
        <f t="shared" si="26"/>
        <v>217.70000000000002</v>
      </c>
      <c r="AB110" s="110">
        <f t="shared" si="26"/>
        <v>190.70000000000002</v>
      </c>
      <c r="AC110" s="110">
        <f t="shared" si="26"/>
        <v>170.99999999999997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288.09999999999997</v>
      </c>
      <c r="AF110" s="110">
        <f>SUM(AF20,AF26,AF29:AF30,AF58,AF60:AF61,AF63,AF65,AF111:AF115,AF138,AF144,AF150,AF159,AF161,AF173,AF180,AF183:AF184,AF191,AF193,AF195,AF199:AF201,AF203:AF205,AF210,AF216:AF217,AF219:AF221,AF229,AF234)</f>
        <v>44.400000000000006</v>
      </c>
      <c r="AG110" s="111"/>
      <c r="AH110" s="47">
        <f t="shared" si="11"/>
        <v>342.69999999999993</v>
      </c>
      <c r="AI110" s="48">
        <f t="shared" si="12"/>
        <v>19.739999999999984</v>
      </c>
    </row>
    <row r="111" spans="1:37" x14ac:dyDescent="0.25">
      <c r="A111" s="99" t="s">
        <v>119</v>
      </c>
      <c r="B111" s="112">
        <v>29.9</v>
      </c>
      <c r="C111" s="112">
        <v>13.1</v>
      </c>
      <c r="D111" s="112">
        <v>21.3</v>
      </c>
      <c r="E111" s="112">
        <v>19.5</v>
      </c>
      <c r="F111" s="112">
        <v>20.7</v>
      </c>
      <c r="G111" s="112">
        <v>24.3</v>
      </c>
      <c r="H111" s="112">
        <v>29.1</v>
      </c>
      <c r="I111" s="112">
        <v>32.9</v>
      </c>
      <c r="J111" s="112">
        <v>38.1</v>
      </c>
      <c r="K111" s="112">
        <v>39.6</v>
      </c>
      <c r="L111" s="112">
        <v>38.799999999999997</v>
      </c>
      <c r="M111" s="112">
        <v>32.9</v>
      </c>
      <c r="N111" s="112">
        <v>34</v>
      </c>
      <c r="O111" s="112">
        <v>34.4</v>
      </c>
      <c r="P111" s="112">
        <v>36.799999999999997</v>
      </c>
      <c r="Q111" s="112">
        <v>37.200000000000003</v>
      </c>
      <c r="R111" s="112">
        <v>38.6</v>
      </c>
      <c r="S111" s="112">
        <v>39.1</v>
      </c>
      <c r="T111" s="112">
        <v>38.299999999999997</v>
      </c>
      <c r="U111" s="112">
        <v>42.9</v>
      </c>
      <c r="V111" s="112">
        <v>44.1</v>
      </c>
      <c r="W111" s="112">
        <v>44.1</v>
      </c>
      <c r="X111" s="112">
        <v>45.6</v>
      </c>
      <c r="Y111" s="112">
        <v>45.6</v>
      </c>
      <c r="Z111" s="112">
        <v>44.7</v>
      </c>
      <c r="AA111" s="112">
        <v>46.7</v>
      </c>
      <c r="AB111" s="112">
        <v>43.5</v>
      </c>
      <c r="AC111" s="112">
        <v>41.2</v>
      </c>
      <c r="AD111" s="112">
        <v>37</v>
      </c>
      <c r="AE111" s="112">
        <v>37</v>
      </c>
      <c r="AF111" s="112">
        <v>21.5</v>
      </c>
      <c r="AG111" s="113">
        <v>75</v>
      </c>
      <c r="AH111" s="47">
        <f t="shared" si="11"/>
        <v>46.7</v>
      </c>
      <c r="AI111" s="48">
        <f t="shared" si="12"/>
        <v>13.1</v>
      </c>
    </row>
    <row r="112" spans="1:37" x14ac:dyDescent="0.25">
      <c r="A112" s="102" t="s">
        <v>120</v>
      </c>
      <c r="B112" s="114">
        <v>42.7</v>
      </c>
      <c r="C112" s="114">
        <v>21</v>
      </c>
      <c r="D112" s="114">
        <v>33.4</v>
      </c>
      <c r="E112" s="114">
        <v>29.1</v>
      </c>
      <c r="F112" s="114">
        <v>31.2</v>
      </c>
      <c r="G112" s="114">
        <v>36.1</v>
      </c>
      <c r="H112" s="114">
        <v>43.8</v>
      </c>
      <c r="I112" s="114">
        <v>48.6</v>
      </c>
      <c r="J112" s="114">
        <v>55.2</v>
      </c>
      <c r="K112" s="114">
        <v>54.7</v>
      </c>
      <c r="L112" s="114">
        <v>53</v>
      </c>
      <c r="M112" s="114">
        <v>45.6</v>
      </c>
      <c r="N112" s="114">
        <v>50.1</v>
      </c>
      <c r="O112" s="114">
        <v>49.2</v>
      </c>
      <c r="P112" s="114">
        <v>51.4</v>
      </c>
      <c r="Q112" s="114">
        <v>51.4</v>
      </c>
      <c r="R112" s="114">
        <v>54.6</v>
      </c>
      <c r="S112" s="114">
        <v>55.6</v>
      </c>
      <c r="T112" s="114">
        <v>53.3</v>
      </c>
      <c r="U112" s="114">
        <v>61</v>
      </c>
      <c r="V112" s="114">
        <v>61.9</v>
      </c>
      <c r="W112" s="114">
        <v>61.9</v>
      </c>
      <c r="X112" s="114">
        <v>66.099999999999994</v>
      </c>
      <c r="Y112" s="114">
        <v>66.099999999999994</v>
      </c>
      <c r="Z112" s="114">
        <v>64</v>
      </c>
      <c r="AA112" s="114">
        <v>67.099999999999994</v>
      </c>
      <c r="AB112" s="114">
        <v>63.5</v>
      </c>
      <c r="AC112" s="114">
        <v>61.4</v>
      </c>
      <c r="AD112" s="114">
        <v>54</v>
      </c>
      <c r="AE112" s="114">
        <v>54</v>
      </c>
      <c r="AF112" s="114">
        <v>36.5</v>
      </c>
      <c r="AG112" s="113">
        <v>240</v>
      </c>
      <c r="AH112" s="47">
        <f t="shared" si="11"/>
        <v>67.099999999999994</v>
      </c>
      <c r="AI112" s="48">
        <f t="shared" si="12"/>
        <v>21</v>
      </c>
    </row>
    <row r="113" spans="1:37" x14ac:dyDescent="0.25">
      <c r="A113" s="102" t="s">
        <v>121</v>
      </c>
      <c r="B113" s="114">
        <v>-150</v>
      </c>
      <c r="C113" s="114">
        <v>-173</v>
      </c>
      <c r="D113" s="114">
        <v>-162</v>
      </c>
      <c r="E113" s="114">
        <v>-140</v>
      </c>
      <c r="F113" s="114">
        <v>-152</v>
      </c>
      <c r="G113" s="114">
        <v>-154</v>
      </c>
      <c r="H113" s="114">
        <v>-174</v>
      </c>
      <c r="I113" s="114">
        <v>-135</v>
      </c>
      <c r="J113" s="114">
        <v>-127</v>
      </c>
      <c r="K113" s="114">
        <v>-168</v>
      </c>
      <c r="L113" s="114">
        <v>-127</v>
      </c>
      <c r="M113" s="114"/>
      <c r="N113" s="114"/>
      <c r="O113" s="114"/>
      <c r="P113" s="114"/>
      <c r="Q113" s="114"/>
      <c r="R113" s="114"/>
      <c r="S113" s="114">
        <v>-104.1</v>
      </c>
      <c r="T113" s="114">
        <v>-94.5</v>
      </c>
      <c r="U113" s="114">
        <v>-109.9</v>
      </c>
      <c r="V113" s="114">
        <v>-126.7</v>
      </c>
      <c r="W113" s="114">
        <v>-126.7</v>
      </c>
      <c r="X113" s="114">
        <v>-120.41</v>
      </c>
      <c r="Y113" s="114">
        <v>-120.41</v>
      </c>
      <c r="Z113" s="114">
        <v>-126.8</v>
      </c>
      <c r="AA113" s="114">
        <v>-144.6</v>
      </c>
      <c r="AB113" s="114">
        <v>-150.30000000000001</v>
      </c>
      <c r="AC113" s="114">
        <v>-165.3</v>
      </c>
      <c r="AD113" s="114"/>
      <c r="AE113" s="114"/>
      <c r="AF113" s="114">
        <v>-170</v>
      </c>
      <c r="AG113" s="113">
        <v>240</v>
      </c>
      <c r="AH113" s="47">
        <f t="shared" si="11"/>
        <v>-94.5</v>
      </c>
      <c r="AI113" s="48">
        <f t="shared" si="12"/>
        <v>-174</v>
      </c>
    </row>
    <row r="114" spans="1:37" x14ac:dyDescent="0.25">
      <c r="A114" s="102" t="s">
        <v>122</v>
      </c>
      <c r="B114" s="114">
        <v>-5.5</v>
      </c>
      <c r="C114" s="114">
        <v>-7.5</v>
      </c>
      <c r="D114" s="114">
        <v>-11.2</v>
      </c>
      <c r="E114" s="114">
        <v>-8.6</v>
      </c>
      <c r="F114" s="114">
        <v>-11.9</v>
      </c>
      <c r="G114" s="114">
        <v>-13.8</v>
      </c>
      <c r="H114" s="114">
        <v>-5.9</v>
      </c>
      <c r="I114" s="114">
        <v>-3.5</v>
      </c>
      <c r="J114" s="114">
        <v>-3.5</v>
      </c>
      <c r="K114" s="114">
        <v>-1.1000000000000001</v>
      </c>
      <c r="L114" s="114">
        <v>0.2</v>
      </c>
      <c r="M114" s="114">
        <v>1</v>
      </c>
      <c r="N114" s="114">
        <v>6.2</v>
      </c>
      <c r="O114" s="114">
        <v>7</v>
      </c>
      <c r="P114" s="114">
        <v>2.7</v>
      </c>
      <c r="Q114" s="114">
        <v>13.5</v>
      </c>
      <c r="R114" s="114">
        <v>15.6</v>
      </c>
      <c r="S114" s="114">
        <v>13.5</v>
      </c>
      <c r="T114" s="114">
        <v>12.1</v>
      </c>
      <c r="U114" s="114">
        <v>13.5</v>
      </c>
      <c r="V114" s="114">
        <v>15.2</v>
      </c>
      <c r="W114" s="114">
        <v>15.2</v>
      </c>
      <c r="X114" s="114">
        <v>25.4</v>
      </c>
      <c r="Y114" s="114">
        <v>25.4</v>
      </c>
      <c r="Z114" s="114">
        <v>36.4</v>
      </c>
      <c r="AA114" s="114">
        <v>17.100000000000001</v>
      </c>
      <c r="AB114" s="114">
        <v>6.3</v>
      </c>
      <c r="AC114" s="114">
        <v>5.5</v>
      </c>
      <c r="AD114" s="114">
        <v>-9.6999999999999993</v>
      </c>
      <c r="AE114" s="114">
        <v>-9.6999999999999993</v>
      </c>
      <c r="AF114" s="114">
        <v>-13</v>
      </c>
      <c r="AG114" s="113">
        <v>60</v>
      </c>
      <c r="AH114" s="47">
        <f t="shared" si="11"/>
        <v>36.4</v>
      </c>
      <c r="AI114" s="48">
        <f t="shared" si="12"/>
        <v>-13.8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22</v>
      </c>
      <c r="L115" s="116">
        <v>24.8</v>
      </c>
      <c r="M115" s="116">
        <v>42.6</v>
      </c>
      <c r="N115" s="116">
        <v>48</v>
      </c>
      <c r="O115" s="116">
        <v>43.7</v>
      </c>
      <c r="P115" s="116">
        <v>35.200000000000003</v>
      </c>
      <c r="Q115" s="116">
        <v>35.200000000000003</v>
      </c>
      <c r="R115" s="116">
        <v>36.4</v>
      </c>
      <c r="S115" s="116">
        <v>36.5</v>
      </c>
      <c r="T115" s="116">
        <v>36.6</v>
      </c>
      <c r="U115" s="116">
        <v>40.700000000000003</v>
      </c>
      <c r="V115" s="116">
        <v>40.700000000000003</v>
      </c>
      <c r="W115" s="116">
        <v>40.700000000000003</v>
      </c>
      <c r="X115" s="116">
        <v>38.299999999999997</v>
      </c>
      <c r="Y115" s="116">
        <v>38.299999999999997</v>
      </c>
      <c r="Z115" s="116">
        <v>41.8</v>
      </c>
      <c r="AA115" s="116">
        <v>42.1</v>
      </c>
      <c r="AB115" s="116">
        <v>42.9</v>
      </c>
      <c r="AC115" s="116">
        <v>43.4</v>
      </c>
      <c r="AD115" s="116">
        <v>32.4</v>
      </c>
      <c r="AE115" s="116">
        <v>32.4</v>
      </c>
      <c r="AF115" s="116">
        <v>0</v>
      </c>
      <c r="AG115" s="117">
        <v>120</v>
      </c>
      <c r="AH115" s="47">
        <f t="shared" si="11"/>
        <v>48</v>
      </c>
      <c r="AI115" s="48">
        <f t="shared" si="12"/>
        <v>0</v>
      </c>
    </row>
    <row r="116" spans="1:37" x14ac:dyDescent="0.25">
      <c r="A116" s="115" t="s">
        <v>124</v>
      </c>
      <c r="B116" s="116">
        <v>29.4</v>
      </c>
      <c r="C116" s="116">
        <v>40.200000000000003</v>
      </c>
      <c r="D116" s="116">
        <v>-10.6</v>
      </c>
      <c r="E116" s="116">
        <v>36.6</v>
      </c>
      <c r="F116" s="116">
        <v>13.7</v>
      </c>
      <c r="G116" s="116">
        <v>8.4</v>
      </c>
      <c r="H116" s="116">
        <v>-8</v>
      </c>
      <c r="I116" s="116">
        <v>6.7</v>
      </c>
      <c r="J116" s="116">
        <v>-2.1</v>
      </c>
      <c r="K116" s="116">
        <v>10.4</v>
      </c>
      <c r="L116" s="116">
        <v>-9.3000000000000007</v>
      </c>
      <c r="M116" s="116">
        <v>73.7</v>
      </c>
      <c r="N116" s="116">
        <v>44.4</v>
      </c>
      <c r="O116" s="116">
        <v>42.2</v>
      </c>
      <c r="P116" s="116">
        <v>6</v>
      </c>
      <c r="Q116" s="116">
        <v>28.1</v>
      </c>
      <c r="R116" s="116">
        <v>45.5</v>
      </c>
      <c r="S116" s="116">
        <v>55.7</v>
      </c>
      <c r="T116" s="116">
        <v>61.8</v>
      </c>
      <c r="U116" s="116">
        <v>45.2</v>
      </c>
      <c r="V116" s="116">
        <v>45.2</v>
      </c>
      <c r="W116" s="116">
        <v>45.2</v>
      </c>
      <c r="X116" s="116">
        <v>19.899999999999999</v>
      </c>
      <c r="Y116" s="116">
        <v>19.899999999999999</v>
      </c>
      <c r="Z116" s="116">
        <v>24.7</v>
      </c>
      <c r="AA116" s="116">
        <v>-1.1399999999999999</v>
      </c>
      <c r="AB116" s="116">
        <v>18.600000000000001</v>
      </c>
      <c r="AC116" s="116">
        <v>-21.6</v>
      </c>
      <c r="AD116" s="116">
        <v>-35.4</v>
      </c>
      <c r="AE116" s="116">
        <v>-35.4</v>
      </c>
      <c r="AF116" s="116">
        <v>25.8</v>
      </c>
      <c r="AG116" s="117"/>
      <c r="AH116" s="47">
        <f t="shared" si="11"/>
        <v>73.7</v>
      </c>
      <c r="AI116" s="48">
        <f t="shared" si="12"/>
        <v>-35.4</v>
      </c>
    </row>
    <row r="117" spans="1:37" x14ac:dyDescent="0.25">
      <c r="A117" s="115" t="s">
        <v>125</v>
      </c>
      <c r="B117" s="116">
        <v>-2.6</v>
      </c>
      <c r="C117" s="116">
        <v>0</v>
      </c>
      <c r="D117" s="116">
        <v>-16.3</v>
      </c>
      <c r="E117" s="116">
        <v>-18.3</v>
      </c>
      <c r="F117" s="116">
        <v>-24.9</v>
      </c>
      <c r="G117" s="116">
        <v>-21.7</v>
      </c>
      <c r="H117" s="116">
        <v>-27.7</v>
      </c>
      <c r="I117" s="116">
        <v>-29.2</v>
      </c>
      <c r="J117" s="116">
        <v>-26.7</v>
      </c>
      <c r="K117" s="116">
        <v>-19.399999999999999</v>
      </c>
      <c r="L117" s="116">
        <v>-18.100000000000001</v>
      </c>
      <c r="M117" s="116">
        <v>9.1999999999999993</v>
      </c>
      <c r="N117" s="116">
        <v>-1.7</v>
      </c>
      <c r="O117" s="116">
        <v>-1</v>
      </c>
      <c r="P117" s="116">
        <v>-9.1</v>
      </c>
      <c r="Q117" s="116">
        <v>-1.8</v>
      </c>
      <c r="R117" s="116">
        <v>0</v>
      </c>
      <c r="S117" s="116">
        <v>7.8</v>
      </c>
      <c r="T117" s="116">
        <v>-4.4000000000000004</v>
      </c>
      <c r="U117" s="116">
        <v>-8.6999999999999993</v>
      </c>
      <c r="V117" s="116">
        <v>-8.6999999999999993</v>
      </c>
      <c r="W117" s="116">
        <v>-8.6999999999999993</v>
      </c>
      <c r="X117" s="116">
        <v>-6.7</v>
      </c>
      <c r="Y117" s="116">
        <v>-6.7</v>
      </c>
      <c r="Z117" s="116">
        <v>-9.4</v>
      </c>
      <c r="AA117" s="116">
        <v>-11.4</v>
      </c>
      <c r="AB117" s="116">
        <v>-13.7</v>
      </c>
      <c r="AC117" s="116">
        <v>-9.5</v>
      </c>
      <c r="AD117" s="116">
        <v>-17.8</v>
      </c>
      <c r="AE117" s="116">
        <v>-17.8</v>
      </c>
      <c r="AF117" s="116">
        <v>-5</v>
      </c>
      <c r="AG117" s="118"/>
      <c r="AH117" s="47">
        <f t="shared" si="11"/>
        <v>9.1999999999999993</v>
      </c>
      <c r="AI117" s="48">
        <f t="shared" si="12"/>
        <v>-29.2</v>
      </c>
    </row>
    <row r="118" spans="1:37" x14ac:dyDescent="0.25">
      <c r="A118" s="119" t="s">
        <v>126</v>
      </c>
      <c r="B118" s="105">
        <v>37</v>
      </c>
      <c r="C118" s="105">
        <v>46</v>
      </c>
      <c r="D118" s="105">
        <v>48.2</v>
      </c>
      <c r="E118" s="105">
        <v>51.1</v>
      </c>
      <c r="F118" s="105">
        <v>56.2</v>
      </c>
      <c r="G118" s="105">
        <v>60.6</v>
      </c>
      <c r="H118" s="105">
        <v>60.4</v>
      </c>
      <c r="I118" s="105">
        <v>57.4</v>
      </c>
      <c r="J118" s="105">
        <v>53.3</v>
      </c>
      <c r="K118" s="105">
        <v>48.7</v>
      </c>
      <c r="L118" s="105">
        <v>45.63</v>
      </c>
      <c r="M118" s="105">
        <v>35.9</v>
      </c>
      <c r="N118" s="105">
        <v>33.799999999999997</v>
      </c>
      <c r="O118" s="105">
        <v>30.5</v>
      </c>
      <c r="P118" s="105">
        <v>29.2</v>
      </c>
      <c r="Q118" s="105">
        <v>29.5</v>
      </c>
      <c r="R118" s="105">
        <v>31</v>
      </c>
      <c r="S118" s="105">
        <v>28.3</v>
      </c>
      <c r="T118" s="105">
        <v>23.9</v>
      </c>
      <c r="U118" s="105">
        <v>24.1</v>
      </c>
      <c r="V118" s="105">
        <v>24.1</v>
      </c>
      <c r="W118" s="105">
        <v>24.1</v>
      </c>
      <c r="X118" s="105">
        <v>21.8</v>
      </c>
      <c r="Y118" s="105">
        <v>21.8</v>
      </c>
      <c r="Z118" s="105">
        <v>18.8</v>
      </c>
      <c r="AA118" s="105">
        <v>30.4</v>
      </c>
      <c r="AB118" s="105">
        <v>34</v>
      </c>
      <c r="AC118" s="105">
        <v>37.5</v>
      </c>
      <c r="AD118" s="105">
        <v>42.8</v>
      </c>
      <c r="AE118" s="105">
        <v>42.8</v>
      </c>
      <c r="AF118" s="105">
        <v>51.8</v>
      </c>
      <c r="AG118" s="118"/>
      <c r="AH118" s="47">
        <f t="shared" si="11"/>
        <v>60.6</v>
      </c>
      <c r="AI118" s="48">
        <f t="shared" si="12"/>
        <v>18.8</v>
      </c>
    </row>
    <row r="119" spans="1:37" x14ac:dyDescent="0.25">
      <c r="A119" s="120" t="s">
        <v>127</v>
      </c>
      <c r="B119" s="105">
        <v>80.3</v>
      </c>
      <c r="C119" s="105">
        <v>62.6</v>
      </c>
      <c r="D119" s="105">
        <v>86.2</v>
      </c>
      <c r="E119" s="105">
        <v>74.8</v>
      </c>
      <c r="F119" s="105">
        <v>85.3</v>
      </c>
      <c r="G119" s="105">
        <v>87.8</v>
      </c>
      <c r="H119" s="105">
        <v>93.8</v>
      </c>
      <c r="I119" s="105">
        <v>82.9</v>
      </c>
      <c r="J119" s="105">
        <v>80</v>
      </c>
      <c r="K119" s="105">
        <v>77.8</v>
      </c>
      <c r="L119" s="105">
        <v>76.2</v>
      </c>
      <c r="M119" s="105">
        <v>51.5</v>
      </c>
      <c r="N119" s="105">
        <v>67.599999999999994</v>
      </c>
      <c r="O119" s="105">
        <v>62.1</v>
      </c>
      <c r="P119" s="105">
        <v>77.400000000000006</v>
      </c>
      <c r="Q119" s="105">
        <v>66.599999999999994</v>
      </c>
      <c r="R119" s="105">
        <v>52.9</v>
      </c>
      <c r="S119" s="105">
        <v>50.3</v>
      </c>
      <c r="T119" s="105">
        <v>55.1</v>
      </c>
      <c r="U119" s="105">
        <v>64.599999999999994</v>
      </c>
      <c r="V119" s="105">
        <v>77.7</v>
      </c>
      <c r="W119" s="105">
        <v>77.7</v>
      </c>
      <c r="X119" s="105">
        <v>62.7</v>
      </c>
      <c r="Y119" s="105">
        <v>62.7</v>
      </c>
      <c r="Z119" s="105">
        <v>73.5</v>
      </c>
      <c r="AA119" s="105">
        <v>84.7</v>
      </c>
      <c r="AB119" s="105">
        <v>83.1</v>
      </c>
      <c r="AC119" s="105">
        <v>96.6</v>
      </c>
      <c r="AD119" s="105">
        <v>103</v>
      </c>
      <c r="AE119" s="105">
        <v>103</v>
      </c>
      <c r="AF119" s="105">
        <v>80</v>
      </c>
      <c r="AG119" s="118"/>
      <c r="AH119" s="47">
        <f t="shared" si="11"/>
        <v>103</v>
      </c>
      <c r="AI119" s="48">
        <f t="shared" si="12"/>
        <v>50.3</v>
      </c>
    </row>
    <row r="120" spans="1:37" ht="15.75" thickBot="1" x14ac:dyDescent="0.3">
      <c r="A120" s="119" t="s">
        <v>128</v>
      </c>
      <c r="B120" s="105">
        <v>37.700000000000003</v>
      </c>
      <c r="C120" s="105">
        <v>28.9</v>
      </c>
      <c r="D120" s="105">
        <v>32.9</v>
      </c>
      <c r="E120" s="105">
        <v>24.4</v>
      </c>
      <c r="F120" s="105">
        <v>17.5</v>
      </c>
      <c r="G120" s="105">
        <v>9.9</v>
      </c>
      <c r="H120" s="105">
        <v>3.5</v>
      </c>
      <c r="I120" s="105">
        <v>-3.5</v>
      </c>
      <c r="J120" s="105">
        <v>4.8</v>
      </c>
      <c r="K120" s="105">
        <v>8.9</v>
      </c>
      <c r="L120" s="105">
        <v>13.4</v>
      </c>
      <c r="M120" s="105">
        <v>30.9</v>
      </c>
      <c r="N120" s="105">
        <v>29.7</v>
      </c>
      <c r="O120" s="105">
        <v>31.1</v>
      </c>
      <c r="P120" s="105">
        <v>30</v>
      </c>
      <c r="Q120" s="105">
        <v>26.9</v>
      </c>
      <c r="R120" s="105">
        <v>27.9</v>
      </c>
      <c r="S120" s="105">
        <v>31.6</v>
      </c>
      <c r="T120" s="105">
        <v>39</v>
      </c>
      <c r="U120" s="105">
        <v>34.700000000000003</v>
      </c>
      <c r="V120" s="105">
        <v>33.5</v>
      </c>
      <c r="W120" s="105">
        <v>33.5</v>
      </c>
      <c r="X120" s="105">
        <v>34.1</v>
      </c>
      <c r="Y120" s="105">
        <v>34.1</v>
      </c>
      <c r="Z120" s="105">
        <v>52.7</v>
      </c>
      <c r="AA120" s="105">
        <v>45.5</v>
      </c>
      <c r="AB120" s="105">
        <v>45.5</v>
      </c>
      <c r="AC120" s="105">
        <v>104</v>
      </c>
      <c r="AD120" s="105">
        <v>101</v>
      </c>
      <c r="AE120" s="105">
        <v>101</v>
      </c>
      <c r="AF120" s="105">
        <v>23.2</v>
      </c>
      <c r="AG120" s="118"/>
      <c r="AH120" s="47">
        <f t="shared" si="11"/>
        <v>104</v>
      </c>
      <c r="AI120" s="48">
        <f t="shared" si="12"/>
        <v>-3.5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7">SUM(B122:B226)</f>
        <v>0</v>
      </c>
      <c r="C227" s="136">
        <f t="shared" si="27"/>
        <v>0</v>
      </c>
      <c r="D227" s="136">
        <f t="shared" si="27"/>
        <v>0</v>
      </c>
      <c r="E227" s="136">
        <f t="shared" si="27"/>
        <v>0</v>
      </c>
      <c r="F227" s="136">
        <f t="shared" si="27"/>
        <v>0</v>
      </c>
      <c r="G227" s="136">
        <f t="shared" si="27"/>
        <v>0</v>
      </c>
      <c r="H227" s="136">
        <f t="shared" si="27"/>
        <v>0</v>
      </c>
      <c r="I227" s="136">
        <f t="shared" si="27"/>
        <v>0</v>
      </c>
      <c r="J227" s="136">
        <f t="shared" si="27"/>
        <v>0</v>
      </c>
      <c r="K227" s="136">
        <f t="shared" si="27"/>
        <v>0</v>
      </c>
      <c r="L227" s="136">
        <f t="shared" si="27"/>
        <v>0</v>
      </c>
      <c r="M227" s="136">
        <f t="shared" si="27"/>
        <v>0</v>
      </c>
      <c r="N227" s="136">
        <f t="shared" si="27"/>
        <v>0</v>
      </c>
      <c r="O227" s="136">
        <f t="shared" si="27"/>
        <v>0</v>
      </c>
      <c r="P227" s="136">
        <f t="shared" si="27"/>
        <v>0</v>
      </c>
      <c r="Q227" s="136">
        <f t="shared" si="27"/>
        <v>0</v>
      </c>
      <c r="R227" s="136">
        <f t="shared" si="27"/>
        <v>0</v>
      </c>
      <c r="S227" s="136">
        <f t="shared" si="27"/>
        <v>0</v>
      </c>
      <c r="T227" s="136">
        <f t="shared" si="27"/>
        <v>0</v>
      </c>
      <c r="U227" s="136">
        <f t="shared" si="27"/>
        <v>0</v>
      </c>
      <c r="V227" s="136">
        <f t="shared" si="27"/>
        <v>0</v>
      </c>
      <c r="W227" s="136">
        <f t="shared" si="27"/>
        <v>0</v>
      </c>
      <c r="X227" s="136">
        <f t="shared" si="27"/>
        <v>0</v>
      </c>
      <c r="Y227" s="136">
        <f t="shared" si="27"/>
        <v>0</v>
      </c>
      <c r="Z227" s="136">
        <f t="shared" si="27"/>
        <v>0</v>
      </c>
      <c r="AA227" s="136">
        <f t="shared" si="27"/>
        <v>0</v>
      </c>
      <c r="AB227" s="136">
        <f t="shared" si="27"/>
        <v>0</v>
      </c>
      <c r="AC227" s="136">
        <f t="shared" si="27"/>
        <v>0</v>
      </c>
      <c r="AD227" s="136">
        <f t="shared" si="27"/>
        <v>0</v>
      </c>
      <c r="AE227" s="136">
        <f t="shared" si="27"/>
        <v>0</v>
      </c>
      <c r="AF227" s="137">
        <f t="shared" si="27"/>
        <v>0</v>
      </c>
      <c r="AG227" s="138">
        <f t="shared" si="2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8">AF229</f>
        <v>0</v>
      </c>
      <c r="C229" s="140">
        <v>0.3</v>
      </c>
      <c r="D229" s="140">
        <f t="shared" ref="D229:P234" si="29">C229</f>
        <v>0.3</v>
      </c>
      <c r="E229" s="140">
        <f t="shared" si="29"/>
        <v>0.3</v>
      </c>
      <c r="F229" s="140">
        <f t="shared" si="29"/>
        <v>0.3</v>
      </c>
      <c r="G229" s="140">
        <f t="shared" si="29"/>
        <v>0.3</v>
      </c>
      <c r="H229" s="140">
        <f t="shared" si="29"/>
        <v>0.3</v>
      </c>
      <c r="I229" s="140">
        <f t="shared" si="29"/>
        <v>0.3</v>
      </c>
      <c r="J229" s="140">
        <f t="shared" si="29"/>
        <v>0.3</v>
      </c>
      <c r="K229" s="140">
        <f t="shared" si="29"/>
        <v>0.3</v>
      </c>
      <c r="L229" s="140">
        <f t="shared" si="29"/>
        <v>0.3</v>
      </c>
      <c r="M229" s="140">
        <f t="shared" si="29"/>
        <v>0.3</v>
      </c>
      <c r="N229" s="140">
        <f t="shared" si="29"/>
        <v>0.3</v>
      </c>
      <c r="O229" s="140">
        <f t="shared" si="29"/>
        <v>0.3</v>
      </c>
      <c r="P229" s="140">
        <f t="shared" si="2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8"/>
        <v>0</v>
      </c>
      <c r="C230" s="128">
        <v>0.4</v>
      </c>
      <c r="D230" s="128">
        <f t="shared" si="29"/>
        <v>0.4</v>
      </c>
      <c r="E230" s="128">
        <f t="shared" si="29"/>
        <v>0.4</v>
      </c>
      <c r="F230" s="128">
        <f t="shared" si="29"/>
        <v>0.4</v>
      </c>
      <c r="G230" s="128">
        <f t="shared" si="29"/>
        <v>0.4</v>
      </c>
      <c r="H230" s="128">
        <f t="shared" si="29"/>
        <v>0.4</v>
      </c>
      <c r="I230" s="128">
        <f t="shared" si="29"/>
        <v>0.4</v>
      </c>
      <c r="J230" s="128">
        <f t="shared" si="29"/>
        <v>0.4</v>
      </c>
      <c r="K230" s="128">
        <f t="shared" si="29"/>
        <v>0.4</v>
      </c>
      <c r="L230" s="128">
        <f t="shared" si="29"/>
        <v>0.4</v>
      </c>
      <c r="M230" s="128">
        <f t="shared" si="29"/>
        <v>0.4</v>
      </c>
      <c r="N230" s="128">
        <f t="shared" si="29"/>
        <v>0.4</v>
      </c>
      <c r="O230" s="128">
        <f t="shared" si="29"/>
        <v>0.4</v>
      </c>
      <c r="P230" s="128">
        <f t="shared" si="2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8"/>
        <v>0</v>
      </c>
      <c r="C231" s="128">
        <v>1.5</v>
      </c>
      <c r="D231" s="128">
        <f t="shared" si="29"/>
        <v>1.5</v>
      </c>
      <c r="E231" s="128">
        <f t="shared" si="29"/>
        <v>1.5</v>
      </c>
      <c r="F231" s="128">
        <f t="shared" si="29"/>
        <v>1.5</v>
      </c>
      <c r="G231" s="128">
        <f t="shared" si="29"/>
        <v>1.5</v>
      </c>
      <c r="H231" s="128">
        <f t="shared" si="2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9"/>
        <v>123.21900000000009</v>
      </c>
      <c r="K231" s="128">
        <f t="shared" ca="1" si="29"/>
        <v>123.21900000000009</v>
      </c>
      <c r="L231" s="128">
        <f t="shared" ca="1" si="29"/>
        <v>123.21900000000009</v>
      </c>
      <c r="M231" s="128">
        <f t="shared" ca="1" si="29"/>
        <v>119.19900000000008</v>
      </c>
      <c r="N231" s="128">
        <f t="shared" ca="1" si="29"/>
        <v>119.19900000000008</v>
      </c>
      <c r="O231" s="128">
        <f t="shared" ca="1" si="29"/>
        <v>119.19900000000008</v>
      </c>
      <c r="P231" s="128">
        <f t="shared" ca="1" si="2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8"/>
        <v>0</v>
      </c>
      <c r="C232" s="128">
        <v>0.3</v>
      </c>
      <c r="D232" s="128">
        <f t="shared" si="29"/>
        <v>0.3</v>
      </c>
      <c r="E232" s="128">
        <f t="shared" si="29"/>
        <v>0.3</v>
      </c>
      <c r="F232" s="128">
        <f t="shared" si="29"/>
        <v>0.3</v>
      </c>
      <c r="G232" s="128">
        <f t="shared" si="29"/>
        <v>0.3</v>
      </c>
      <c r="H232" s="128">
        <f t="shared" si="29"/>
        <v>0.3</v>
      </c>
      <c r="I232" s="128">
        <f t="shared" si="29"/>
        <v>0.3</v>
      </c>
      <c r="J232" s="128">
        <f t="shared" si="29"/>
        <v>0.3</v>
      </c>
      <c r="K232" s="128">
        <f t="shared" si="29"/>
        <v>0.3</v>
      </c>
      <c r="L232" s="128">
        <f t="shared" si="29"/>
        <v>0.3</v>
      </c>
      <c r="M232" s="128">
        <f t="shared" si="29"/>
        <v>0.3</v>
      </c>
      <c r="N232" s="128">
        <f t="shared" si="29"/>
        <v>0.3</v>
      </c>
      <c r="O232" s="128">
        <f t="shared" si="29"/>
        <v>0.3</v>
      </c>
      <c r="P232" s="128">
        <f t="shared" si="2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8"/>
        <v>0</v>
      </c>
      <c r="C233" s="128">
        <v>0.4</v>
      </c>
      <c r="D233" s="128">
        <f t="shared" si="29"/>
        <v>0.4</v>
      </c>
      <c r="E233" s="128">
        <f t="shared" si="29"/>
        <v>0.4</v>
      </c>
      <c r="F233" s="128">
        <f t="shared" si="29"/>
        <v>0.4</v>
      </c>
      <c r="G233" s="128">
        <f t="shared" si="29"/>
        <v>0.4</v>
      </c>
      <c r="H233" s="128">
        <f t="shared" si="29"/>
        <v>0.4</v>
      </c>
      <c r="I233" s="128">
        <f t="shared" si="29"/>
        <v>0.4</v>
      </c>
      <c r="J233" s="128">
        <f t="shared" si="29"/>
        <v>0.4</v>
      </c>
      <c r="K233" s="128">
        <f t="shared" si="29"/>
        <v>0.4</v>
      </c>
      <c r="L233" s="128">
        <f t="shared" si="29"/>
        <v>0.4</v>
      </c>
      <c r="M233" s="128">
        <f t="shared" si="29"/>
        <v>0.4</v>
      </c>
      <c r="N233" s="128">
        <f t="shared" si="29"/>
        <v>0.4</v>
      </c>
      <c r="O233" s="128">
        <f t="shared" si="29"/>
        <v>0.4</v>
      </c>
      <c r="P233" s="128">
        <f t="shared" si="2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8"/>
        <v>0</v>
      </c>
      <c r="C234" s="132">
        <v>0.64</v>
      </c>
      <c r="D234" s="132">
        <f t="shared" si="29"/>
        <v>0.64</v>
      </c>
      <c r="E234" s="132">
        <f t="shared" si="29"/>
        <v>0.64</v>
      </c>
      <c r="F234" s="132">
        <f t="shared" si="29"/>
        <v>0.64</v>
      </c>
      <c r="G234" s="132">
        <f t="shared" si="29"/>
        <v>0.64</v>
      </c>
      <c r="H234" s="132">
        <f t="shared" si="29"/>
        <v>0.64</v>
      </c>
      <c r="I234" s="132">
        <f t="shared" si="29"/>
        <v>0.64</v>
      </c>
      <c r="J234" s="132">
        <f t="shared" si="29"/>
        <v>0.64</v>
      </c>
      <c r="K234" s="132">
        <f t="shared" si="29"/>
        <v>0.64</v>
      </c>
      <c r="L234" s="132">
        <f t="shared" si="29"/>
        <v>0.64</v>
      </c>
      <c r="M234" s="132">
        <f t="shared" si="29"/>
        <v>0.64</v>
      </c>
      <c r="N234" s="132">
        <f t="shared" si="29"/>
        <v>0.64</v>
      </c>
      <c r="O234" s="132">
        <f t="shared" si="29"/>
        <v>0.64</v>
      </c>
      <c r="P234" s="132">
        <f t="shared" si="2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0">SUM(B229:B234)</f>
        <v>0</v>
      </c>
      <c r="C235" s="136">
        <f t="shared" si="30"/>
        <v>3.54</v>
      </c>
      <c r="D235" s="136">
        <f t="shared" si="30"/>
        <v>3.54</v>
      </c>
      <c r="E235" s="136">
        <f t="shared" si="30"/>
        <v>3.54</v>
      </c>
      <c r="F235" s="136">
        <f t="shared" si="30"/>
        <v>3.54</v>
      </c>
      <c r="G235" s="136">
        <f t="shared" si="30"/>
        <v>3.54</v>
      </c>
      <c r="H235" s="136">
        <f t="shared" si="30"/>
        <v>3.54</v>
      </c>
      <c r="I235" s="136">
        <f t="shared" ca="1" si="30"/>
        <v>121.23900000000009</v>
      </c>
      <c r="J235" s="136">
        <f t="shared" ca="1" si="30"/>
        <v>121.23900000000009</v>
      </c>
      <c r="K235" s="136">
        <f t="shared" ca="1" si="30"/>
        <v>121.23900000000009</v>
      </c>
      <c r="L235" s="136">
        <f t="shared" ca="1" si="30"/>
        <v>125.2590000000001</v>
      </c>
      <c r="M235" s="136">
        <f t="shared" ca="1" si="30"/>
        <v>121.23900000000009</v>
      </c>
      <c r="N235" s="136">
        <f t="shared" ca="1" si="30"/>
        <v>121.23900000000009</v>
      </c>
      <c r="O235" s="136">
        <f t="shared" ca="1" si="30"/>
        <v>121.23900000000009</v>
      </c>
      <c r="P235" s="136">
        <f t="shared" ca="1" si="30"/>
        <v>121.23900000000009</v>
      </c>
      <c r="Q235" s="136">
        <f t="shared" si="30"/>
        <v>0</v>
      </c>
      <c r="R235" s="136">
        <f t="shared" si="30"/>
        <v>0</v>
      </c>
      <c r="S235" s="136">
        <f t="shared" si="30"/>
        <v>0</v>
      </c>
      <c r="T235" s="136">
        <f t="shared" si="30"/>
        <v>0</v>
      </c>
      <c r="U235" s="136">
        <f t="shared" si="30"/>
        <v>0</v>
      </c>
      <c r="V235" s="136">
        <f t="shared" si="30"/>
        <v>0</v>
      </c>
      <c r="W235" s="136">
        <f t="shared" si="30"/>
        <v>0</v>
      </c>
      <c r="X235" s="136">
        <f t="shared" si="30"/>
        <v>0</v>
      </c>
      <c r="Y235" s="136">
        <f t="shared" si="30"/>
        <v>0</v>
      </c>
      <c r="Z235" s="136">
        <f t="shared" si="30"/>
        <v>0</v>
      </c>
      <c r="AA235" s="136">
        <f t="shared" si="30"/>
        <v>0</v>
      </c>
      <c r="AB235" s="136">
        <f t="shared" si="30"/>
        <v>0</v>
      </c>
      <c r="AC235" s="136">
        <f t="shared" si="30"/>
        <v>0</v>
      </c>
      <c r="AD235" s="136">
        <f t="shared" si="30"/>
        <v>0</v>
      </c>
      <c r="AE235" s="136">
        <f t="shared" si="30"/>
        <v>0</v>
      </c>
      <c r="AF235" s="136">
        <f t="shared" si="30"/>
        <v>0</v>
      </c>
      <c r="AG235" s="145">
        <f t="shared" si="3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2063.94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03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2080/05/3)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2080/05/3)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1">B91</f>
        <v>2020.5</v>
      </c>
      <c r="U249" s="170">
        <f t="shared" si="31"/>
        <v>1953.9</v>
      </c>
      <c r="V249" s="170">
        <f t="shared" si="31"/>
        <v>1951.9</v>
      </c>
      <c r="W249" s="170">
        <f t="shared" si="31"/>
        <v>1951.9</v>
      </c>
      <c r="X249" s="170">
        <f t="shared" si="31"/>
        <v>1927.6999999999998</v>
      </c>
      <c r="Y249" s="170">
        <f t="shared" si="31"/>
        <v>1962.1</v>
      </c>
      <c r="Z249" s="170">
        <f t="shared" si="31"/>
        <v>1992.7399999999998</v>
      </c>
      <c r="AA249" s="170">
        <f t="shared" si="31"/>
        <v>1973.7399999999998</v>
      </c>
      <c r="AB249" s="170">
        <f t="shared" si="31"/>
        <v>2039.2399999999998</v>
      </c>
      <c r="AC249" s="170">
        <f t="shared" si="31"/>
        <v>1972.2400000000002</v>
      </c>
      <c r="AD249" s="170">
        <f t="shared" si="31"/>
        <v>1977.8400000000001</v>
      </c>
      <c r="AE249" s="170">
        <f t="shared" si="31"/>
        <v>2033.6399999999999</v>
      </c>
      <c r="AF249" s="170">
        <f t="shared" si="31"/>
        <v>2063.94</v>
      </c>
      <c r="AG249" s="170">
        <f t="shared" si="31"/>
        <v>2065.64</v>
      </c>
      <c r="AH249" s="170">
        <f t="shared" si="31"/>
        <v>2059.34</v>
      </c>
      <c r="AI249" s="170">
        <f t="shared" si="31"/>
        <v>2057.64</v>
      </c>
      <c r="AJ249" s="170">
        <f t="shared" si="31"/>
        <v>2015.94</v>
      </c>
      <c r="AK249" s="170">
        <f t="shared" si="31"/>
        <v>2012.64</v>
      </c>
      <c r="AL249" s="170">
        <f t="shared" si="31"/>
        <v>1989.14</v>
      </c>
      <c r="AM249" s="170">
        <f t="shared" si="31"/>
        <v>2006.24</v>
      </c>
      <c r="AN249" s="170">
        <f t="shared" si="31"/>
        <v>2030.6399999999999</v>
      </c>
      <c r="AO249" s="170">
        <f t="shared" si="31"/>
        <v>2030.6399999999999</v>
      </c>
      <c r="AP249" s="170">
        <f t="shared" si="31"/>
        <v>2080.54</v>
      </c>
      <c r="AQ249" s="170">
        <f t="shared" si="31"/>
        <v>2080.54</v>
      </c>
      <c r="AR249" s="170">
        <f t="shared" si="31"/>
        <v>2204.3399999999997</v>
      </c>
      <c r="AS249" s="170">
        <f t="shared" si="31"/>
        <v>2203.0399999999995</v>
      </c>
      <c r="AT249" s="170">
        <f t="shared" si="31"/>
        <v>2151.8399999999997</v>
      </c>
      <c r="AU249" s="170">
        <f t="shared" si="31"/>
        <v>2032.64</v>
      </c>
      <c r="AV249" s="170">
        <f t="shared" si="31"/>
        <v>2124.94</v>
      </c>
      <c r="AW249" s="170">
        <f t="shared" si="31"/>
        <v>2096.54</v>
      </c>
      <c r="AX249" s="170">
        <f t="shared" si="31"/>
        <v>2072.54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2">C234</f>
        <v>0.64</v>
      </c>
      <c r="C270" s="173">
        <f t="shared" si="32"/>
        <v>0.64</v>
      </c>
      <c r="D270" s="173">
        <f t="shared" si="32"/>
        <v>0.64</v>
      </c>
      <c r="E270" s="173">
        <f t="shared" si="32"/>
        <v>0.64</v>
      </c>
      <c r="F270" s="173">
        <f t="shared" si="32"/>
        <v>0.64</v>
      </c>
      <c r="G270" s="173">
        <f t="shared" si="32"/>
        <v>0.64</v>
      </c>
      <c r="H270" s="173">
        <f t="shared" si="32"/>
        <v>0.64</v>
      </c>
      <c r="I270" s="173">
        <f t="shared" si="32"/>
        <v>0.64</v>
      </c>
      <c r="J270" s="173">
        <f t="shared" si="32"/>
        <v>0.64</v>
      </c>
      <c r="K270" s="173">
        <f t="shared" si="32"/>
        <v>0.64</v>
      </c>
      <c r="L270" s="173">
        <f t="shared" si="32"/>
        <v>0.64</v>
      </c>
      <c r="M270" s="173">
        <f t="shared" si="32"/>
        <v>0.64</v>
      </c>
      <c r="N270" s="173">
        <f t="shared" si="32"/>
        <v>0.64</v>
      </c>
      <c r="O270" s="173">
        <f t="shared" si="32"/>
        <v>0.64</v>
      </c>
      <c r="P270" s="173">
        <f t="shared" si="32"/>
        <v>0</v>
      </c>
      <c r="Q270" s="173">
        <f t="shared" si="32"/>
        <v>0</v>
      </c>
      <c r="R270" s="173">
        <f t="shared" si="32"/>
        <v>0</v>
      </c>
      <c r="S270" s="173">
        <f t="shared" si="32"/>
        <v>0</v>
      </c>
      <c r="T270" s="173">
        <f t="shared" si="32"/>
        <v>0</v>
      </c>
      <c r="U270" s="173">
        <f t="shared" si="32"/>
        <v>0</v>
      </c>
      <c r="V270" s="173">
        <f t="shared" si="32"/>
        <v>0</v>
      </c>
      <c r="W270" s="173">
        <f t="shared" si="32"/>
        <v>0</v>
      </c>
      <c r="X270" s="173">
        <f t="shared" si="32"/>
        <v>0</v>
      </c>
      <c r="Y270" s="173">
        <f t="shared" si="32"/>
        <v>0</v>
      </c>
      <c r="Z270" s="173">
        <f t="shared" si="32"/>
        <v>0</v>
      </c>
      <c r="AA270" s="173">
        <f t="shared" si="32"/>
        <v>0</v>
      </c>
      <c r="AB270" s="173">
        <f t="shared" si="32"/>
        <v>0</v>
      </c>
      <c r="AC270" s="173">
        <f t="shared" si="32"/>
        <v>0</v>
      </c>
      <c r="AD270" s="173">
        <f t="shared" si="32"/>
        <v>0</v>
      </c>
      <c r="AE270" s="173">
        <f t="shared" si="3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3">IF(B238&lt;100,"",B238-520)</f>
        <v/>
      </c>
      <c r="C271" s="174" t="str">
        <f t="shared" si="33"/>
        <v/>
      </c>
      <c r="D271" s="174" t="str">
        <f t="shared" si="33"/>
        <v/>
      </c>
      <c r="E271" s="174" t="str">
        <f t="shared" si="33"/>
        <v/>
      </c>
      <c r="F271" s="174" t="str">
        <f t="shared" si="33"/>
        <v/>
      </c>
      <c r="G271" s="174" t="str">
        <f t="shared" si="33"/>
        <v/>
      </c>
      <c r="H271" s="174" t="str">
        <f t="shared" si="33"/>
        <v/>
      </c>
      <c r="I271" s="174" t="str">
        <f t="shared" si="33"/>
        <v/>
      </c>
      <c r="J271" s="174" t="str">
        <f t="shared" si="33"/>
        <v/>
      </c>
      <c r="K271" s="174" t="str">
        <f t="shared" si="33"/>
        <v/>
      </c>
      <c r="L271" s="174" t="str">
        <f t="shared" si="33"/>
        <v/>
      </c>
      <c r="M271" s="174" t="str">
        <f t="shared" si="33"/>
        <v/>
      </c>
      <c r="N271" s="174" t="str">
        <f t="shared" si="33"/>
        <v/>
      </c>
      <c r="O271" s="174" t="str">
        <f t="shared" si="33"/>
        <v/>
      </c>
      <c r="P271" s="174" t="str">
        <f t="shared" si="33"/>
        <v/>
      </c>
      <c r="Q271" s="174" t="str">
        <f t="shared" si="33"/>
        <v/>
      </c>
      <c r="R271" s="174" t="str">
        <f t="shared" si="33"/>
        <v/>
      </c>
      <c r="S271" s="174" t="str">
        <f t="shared" si="33"/>
        <v/>
      </c>
      <c r="T271" s="174" t="str">
        <f t="shared" si="33"/>
        <v/>
      </c>
      <c r="U271" s="174" t="str">
        <f t="shared" si="33"/>
        <v/>
      </c>
      <c r="V271" s="174" t="str">
        <f t="shared" si="33"/>
        <v/>
      </c>
      <c r="W271" s="174" t="str">
        <f t="shared" si="33"/>
        <v/>
      </c>
      <c r="X271" s="174" t="str">
        <f t="shared" si="33"/>
        <v/>
      </c>
      <c r="Y271" s="174" t="str">
        <f t="shared" si="33"/>
        <v/>
      </c>
      <c r="Z271" s="174" t="str">
        <f t="shared" si="33"/>
        <v/>
      </c>
      <c r="AA271" s="174" t="str">
        <f t="shared" si="33"/>
        <v/>
      </c>
      <c r="AB271" s="174" t="str">
        <f t="shared" si="33"/>
        <v/>
      </c>
      <c r="AC271" s="174" t="str">
        <f t="shared" si="33"/>
        <v/>
      </c>
      <c r="AD271" s="174" t="str">
        <f t="shared" si="33"/>
        <v/>
      </c>
      <c r="AE271" s="174" t="str">
        <f t="shared" si="33"/>
        <v/>
      </c>
      <c r="AF271" s="174" t="str">
        <f t="shared" si="3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4">IF(B239&lt;100,"",B239-620)</f>
        <v/>
      </c>
      <c r="C272" s="174" t="str">
        <f t="shared" si="34"/>
        <v/>
      </c>
      <c r="D272" s="174" t="str">
        <f t="shared" si="34"/>
        <v/>
      </c>
      <c r="E272" s="174" t="str">
        <f t="shared" si="34"/>
        <v/>
      </c>
      <c r="F272" s="174" t="str">
        <f t="shared" si="34"/>
        <v/>
      </c>
      <c r="G272" s="174" t="str">
        <f t="shared" si="34"/>
        <v/>
      </c>
      <c r="H272" s="174" t="str">
        <f t="shared" si="34"/>
        <v/>
      </c>
      <c r="I272" s="174" t="str">
        <f t="shared" si="34"/>
        <v/>
      </c>
      <c r="J272" s="174" t="str">
        <f t="shared" si="34"/>
        <v/>
      </c>
      <c r="K272" s="174" t="str">
        <f t="shared" si="34"/>
        <v/>
      </c>
      <c r="L272" s="174" t="str">
        <f t="shared" si="34"/>
        <v/>
      </c>
      <c r="M272" s="174" t="str">
        <f t="shared" si="34"/>
        <v/>
      </c>
      <c r="N272" s="174" t="str">
        <f t="shared" si="34"/>
        <v/>
      </c>
      <c r="O272" s="174" t="str">
        <f t="shared" si="34"/>
        <v/>
      </c>
      <c r="P272" s="174" t="str">
        <f t="shared" si="34"/>
        <v/>
      </c>
      <c r="Q272" s="174" t="str">
        <f t="shared" si="34"/>
        <v/>
      </c>
      <c r="R272" s="174" t="str">
        <f t="shared" si="34"/>
        <v/>
      </c>
      <c r="S272" s="174" t="str">
        <f t="shared" si="34"/>
        <v/>
      </c>
      <c r="T272" s="174" t="str">
        <f t="shared" si="34"/>
        <v/>
      </c>
      <c r="U272" s="174" t="str">
        <f t="shared" si="34"/>
        <v/>
      </c>
      <c r="V272" s="174" t="str">
        <f t="shared" si="34"/>
        <v/>
      </c>
      <c r="W272" s="174" t="str">
        <f t="shared" si="34"/>
        <v/>
      </c>
      <c r="X272" s="174" t="str">
        <f t="shared" si="34"/>
        <v/>
      </c>
      <c r="Y272" s="174" t="str">
        <f t="shared" si="34"/>
        <v/>
      </c>
      <c r="Z272" s="174" t="str">
        <f t="shared" si="34"/>
        <v/>
      </c>
      <c r="AA272" s="174" t="str">
        <f t="shared" si="34"/>
        <v/>
      </c>
      <c r="AB272" s="174" t="str">
        <f t="shared" si="34"/>
        <v/>
      </c>
      <c r="AC272" s="174" t="str">
        <f t="shared" si="34"/>
        <v/>
      </c>
      <c r="AD272" s="174" t="str">
        <f t="shared" si="34"/>
        <v/>
      </c>
      <c r="AE272" s="174" t="str">
        <f t="shared" si="34"/>
        <v/>
      </c>
      <c r="AF272" s="174" t="str">
        <f t="shared" si="3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5">IF(B240&lt;100,"",B240-330)</f>
        <v/>
      </c>
      <c r="C273" s="174" t="str">
        <f t="shared" si="35"/>
        <v/>
      </c>
      <c r="D273" s="174" t="str">
        <f t="shared" si="35"/>
        <v/>
      </c>
      <c r="E273" s="174" t="str">
        <f t="shared" si="35"/>
        <v/>
      </c>
      <c r="F273" s="174" t="str">
        <f t="shared" si="35"/>
        <v/>
      </c>
      <c r="G273" s="174" t="str">
        <f t="shared" si="35"/>
        <v/>
      </c>
      <c r="H273" s="174" t="str">
        <f t="shared" si="35"/>
        <v/>
      </c>
      <c r="I273" s="174" t="str">
        <f t="shared" si="35"/>
        <v/>
      </c>
      <c r="J273" s="174" t="str">
        <f t="shared" si="35"/>
        <v/>
      </c>
      <c r="K273" s="174" t="str">
        <f t="shared" si="35"/>
        <v/>
      </c>
      <c r="L273" s="174" t="str">
        <f t="shared" si="35"/>
        <v/>
      </c>
      <c r="M273" s="174" t="str">
        <f t="shared" si="35"/>
        <v/>
      </c>
      <c r="N273" s="174" t="str">
        <f t="shared" si="35"/>
        <v/>
      </c>
      <c r="O273" s="174" t="str">
        <f t="shared" si="35"/>
        <v/>
      </c>
      <c r="P273" s="174" t="str">
        <f t="shared" si="35"/>
        <v/>
      </c>
      <c r="Q273" s="174" t="str">
        <f t="shared" si="35"/>
        <v/>
      </c>
      <c r="R273" s="174" t="str">
        <f t="shared" si="35"/>
        <v/>
      </c>
      <c r="S273" s="174" t="str">
        <f t="shared" si="35"/>
        <v/>
      </c>
      <c r="T273" s="174" t="str">
        <f t="shared" si="35"/>
        <v/>
      </c>
      <c r="U273" s="174" t="str">
        <f t="shared" si="35"/>
        <v/>
      </c>
      <c r="V273" s="174" t="str">
        <f t="shared" si="35"/>
        <v/>
      </c>
      <c r="W273" s="174" t="str">
        <f t="shared" si="35"/>
        <v/>
      </c>
      <c r="X273" s="174" t="str">
        <f t="shared" si="35"/>
        <v/>
      </c>
      <c r="Y273" s="174" t="str">
        <f t="shared" si="35"/>
        <v/>
      </c>
      <c r="Z273" s="174" t="str">
        <f t="shared" si="35"/>
        <v/>
      </c>
      <c r="AA273" s="174" t="str">
        <f t="shared" si="35"/>
        <v/>
      </c>
      <c r="AB273" s="174" t="str">
        <f t="shared" si="35"/>
        <v/>
      </c>
      <c r="AC273" s="174" t="str">
        <f t="shared" si="35"/>
        <v/>
      </c>
      <c r="AD273" s="174" t="str">
        <f t="shared" si="35"/>
        <v/>
      </c>
      <c r="AE273" s="174" t="str">
        <f t="shared" si="35"/>
        <v/>
      </c>
      <c r="AF273" s="174" t="str">
        <f t="shared" si="3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6">IF(B241&lt;100,"",B241-1500)</f>
        <v/>
      </c>
      <c r="C274" s="174" t="str">
        <f t="shared" si="36"/>
        <v/>
      </c>
      <c r="D274" s="174" t="str">
        <f t="shared" si="36"/>
        <v/>
      </c>
      <c r="E274" s="174" t="str">
        <f t="shared" si="36"/>
        <v/>
      </c>
      <c r="F274" s="174" t="str">
        <f t="shared" si="36"/>
        <v/>
      </c>
      <c r="G274" s="174" t="str">
        <f t="shared" si="36"/>
        <v/>
      </c>
      <c r="H274" s="174" t="str">
        <f t="shared" si="36"/>
        <v/>
      </c>
      <c r="I274" s="174" t="str">
        <f t="shared" si="36"/>
        <v/>
      </c>
      <c r="J274" s="174" t="str">
        <f t="shared" si="36"/>
        <v/>
      </c>
      <c r="K274" s="174" t="str">
        <f t="shared" si="36"/>
        <v/>
      </c>
      <c r="L274" s="174" t="str">
        <f t="shared" si="36"/>
        <v/>
      </c>
      <c r="M274" s="174" t="str">
        <f t="shared" si="36"/>
        <v/>
      </c>
      <c r="N274" s="174" t="str">
        <f t="shared" si="36"/>
        <v/>
      </c>
      <c r="O274" s="174" t="str">
        <f t="shared" si="36"/>
        <v/>
      </c>
      <c r="P274" s="174" t="str">
        <f t="shared" si="36"/>
        <v/>
      </c>
      <c r="Q274" s="174" t="str">
        <f t="shared" si="36"/>
        <v/>
      </c>
      <c r="R274" s="174" t="str">
        <f t="shared" si="36"/>
        <v/>
      </c>
      <c r="S274" s="174" t="str">
        <f t="shared" si="36"/>
        <v/>
      </c>
      <c r="T274" s="174" t="str">
        <f t="shared" si="36"/>
        <v/>
      </c>
      <c r="U274" s="174" t="str">
        <f t="shared" si="36"/>
        <v/>
      </c>
      <c r="V274" s="174" t="str">
        <f t="shared" si="36"/>
        <v/>
      </c>
      <c r="W274" s="174" t="str">
        <f t="shared" si="36"/>
        <v/>
      </c>
      <c r="X274" s="174" t="str">
        <f t="shared" si="36"/>
        <v/>
      </c>
      <c r="Y274" s="174" t="str">
        <f t="shared" si="36"/>
        <v/>
      </c>
      <c r="Z274" s="174" t="str">
        <f t="shared" si="36"/>
        <v/>
      </c>
      <c r="AA274" s="174" t="str">
        <f t="shared" si="36"/>
        <v/>
      </c>
      <c r="AB274" s="174" t="str">
        <f t="shared" si="36"/>
        <v/>
      </c>
      <c r="AC274" s="174" t="str">
        <f t="shared" si="36"/>
        <v/>
      </c>
      <c r="AD274" s="174" t="str">
        <f t="shared" si="36"/>
        <v/>
      </c>
      <c r="AE274" s="174" t="str">
        <f t="shared" si="36"/>
        <v/>
      </c>
      <c r="AF274" s="174" t="str">
        <f t="shared" si="3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597" priority="64">
      <formula>$AH11=0</formula>
    </cfRule>
  </conditionalFormatting>
  <conditionalFormatting sqref="B8 M8 S8 AB8">
    <cfRule type="expression" dxfId="3596" priority="115">
      <formula>AND(C$9&gt;=14/24,C$9&lt;20/24)</formula>
    </cfRule>
    <cfRule type="expression" dxfId="3595" priority="116">
      <formula>AND(C$9&gt;=8/24,C$9&lt;14/24)</formula>
    </cfRule>
    <cfRule type="expression" dxfId="3594" priority="117">
      <formula>C$9&lt;8/24</formula>
    </cfRule>
  </conditionalFormatting>
  <conditionalFormatting sqref="B54:C54 B55:B63 E60:L63 E65:L66 B65:B66 B64:F64 G60:AF66">
    <cfRule type="expression" dxfId="3593" priority="38">
      <formula>B$9&gt;=20/24</formula>
    </cfRule>
    <cfRule type="expression" dxfId="3592" priority="39">
      <formula>AND(B$9&gt;=14/24,B$9&lt;20/24)</formula>
    </cfRule>
    <cfRule type="expression" dxfId="3591" priority="40">
      <formula>AND(B$9&gt;=8/24,B$9&lt;14/24)</formula>
    </cfRule>
    <cfRule type="expression" dxfId="3590" priority="41">
      <formula>B$9&lt;8/24</formula>
    </cfRule>
  </conditionalFormatting>
  <conditionalFormatting sqref="B54:C54 E65:F65 B65:D66 B55:F64 G59:M65 N65:AF65">
    <cfRule type="expression" dxfId="3589" priority="33">
      <formula>B54&gt;$AG54</formula>
    </cfRule>
  </conditionalFormatting>
  <conditionalFormatting sqref="B9:AF45">
    <cfRule type="expression" dxfId="3588" priority="23">
      <formula>B$9&gt;=20/24</formula>
    </cfRule>
    <cfRule type="expression" dxfId="3587" priority="24">
      <formula>AND(B$9&gt;=14/24,B$9&lt;20/24)</formula>
    </cfRule>
    <cfRule type="expression" dxfId="3586" priority="25">
      <formula>AND(B$9&gt;=8/24,B$9&lt;14/24)</formula>
    </cfRule>
    <cfRule type="expression" dxfId="3585" priority="26">
      <formula>B$9&lt;8/24</formula>
    </cfRule>
  </conditionalFormatting>
  <conditionalFormatting sqref="B11:AF46">
    <cfRule type="expression" dxfId="3584" priority="22">
      <formula>B11&gt;$AG11</formula>
    </cfRule>
  </conditionalFormatting>
  <conditionalFormatting sqref="B46:AF46">
    <cfRule type="expression" dxfId="3583" priority="18">
      <formula>B$9&gt;=20/24</formula>
    </cfRule>
    <cfRule type="expression" dxfId="3582" priority="19">
      <formula>AND(B$9&gt;=14/24,B$9&lt;20/24)</formula>
    </cfRule>
    <cfRule type="expression" dxfId="3581" priority="20">
      <formula>AND(B$9&gt;=8/24,B$9&lt;14/24)</formula>
    </cfRule>
    <cfRule type="expression" dxfId="3580" priority="21">
      <formula>B$9&lt;8/24</formula>
    </cfRule>
  </conditionalFormatting>
  <conditionalFormatting sqref="B47:AF47">
    <cfRule type="expression" dxfId="3579" priority="32">
      <formula>B47&gt;$AG47</formula>
    </cfRule>
  </conditionalFormatting>
  <conditionalFormatting sqref="B47:AF49">
    <cfRule type="expression" dxfId="3578" priority="28">
      <formula>B$9&gt;=20/24</formula>
    </cfRule>
    <cfRule type="expression" dxfId="3577" priority="29">
      <formula>AND(B$9&gt;=14/24,B$9&lt;20/24)</formula>
    </cfRule>
    <cfRule type="expression" dxfId="3576" priority="30">
      <formula>AND(B$9&gt;=8/24,B$9&lt;14/24)</formula>
    </cfRule>
    <cfRule type="expression" dxfId="3575" priority="31">
      <formula>B$9&lt;8/24</formula>
    </cfRule>
  </conditionalFormatting>
  <conditionalFormatting sqref="B48:AF53">
    <cfRule type="expression" dxfId="3574" priority="27">
      <formula>B48&gt;$AG48</formula>
    </cfRule>
  </conditionalFormatting>
  <conditionalFormatting sqref="B51:AF53">
    <cfRule type="expression" dxfId="3573" priority="47">
      <formula>B$9&gt;=20/24</formula>
    </cfRule>
    <cfRule type="expression" dxfId="3572" priority="48">
      <formula>AND(B$9&gt;=14/24,B$9&lt;20/24)</formula>
    </cfRule>
    <cfRule type="expression" dxfId="3571" priority="49">
      <formula>AND(B$9&gt;=8/24,B$9&lt;14/24)</formula>
    </cfRule>
    <cfRule type="expression" dxfId="3570" priority="50">
      <formula>B$9&lt;8/24</formula>
    </cfRule>
  </conditionalFormatting>
  <conditionalFormatting sqref="B69:AF71">
    <cfRule type="expression" dxfId="3569" priority="55">
      <formula>B69&gt;$AG69</formula>
    </cfRule>
    <cfRule type="expression" dxfId="3568" priority="56">
      <formula>B$9&gt;=20/24</formula>
    </cfRule>
    <cfRule type="expression" dxfId="3567" priority="57">
      <formula>AND(B$9&gt;=14/24,B$9&lt;20/24)</formula>
    </cfRule>
    <cfRule type="expression" dxfId="3566" priority="58">
      <formula>AND(B$9&gt;=8/24,B$9&lt;14/24)</formula>
    </cfRule>
    <cfRule type="expression" dxfId="3565" priority="59">
      <formula>B$9&lt;8/24</formula>
    </cfRule>
  </conditionalFormatting>
  <conditionalFormatting sqref="B73:AF91">
    <cfRule type="expression" dxfId="3564" priority="1">
      <formula>B$9&gt;=20/24</formula>
    </cfRule>
    <cfRule type="expression" dxfId="3563" priority="2">
      <formula>AND(B$9&gt;=14/24,B$9&lt;20/24)</formula>
    </cfRule>
    <cfRule type="expression" dxfId="3562" priority="3">
      <formula>AND(B$9&gt;=8/24,B$9&lt;14/24)</formula>
    </cfRule>
    <cfRule type="expression" dxfId="3561" priority="4">
      <formula>B$9&lt;8/24</formula>
    </cfRule>
  </conditionalFormatting>
  <conditionalFormatting sqref="B111:AF120">
    <cfRule type="expression" dxfId="3560" priority="14">
      <formula>B$9&gt;=20/24</formula>
    </cfRule>
    <cfRule type="expression" dxfId="3559" priority="15">
      <formula>AND(B$9&gt;=14/24,B$9&lt;20/24)</formula>
    </cfRule>
    <cfRule type="expression" dxfId="3558" priority="16">
      <formula>AND(B$9&gt;=8/24,B$9&lt;14/24)</formula>
    </cfRule>
    <cfRule type="expression" dxfId="3557" priority="17">
      <formula>B$9&lt;8/24</formula>
    </cfRule>
  </conditionalFormatting>
  <conditionalFormatting sqref="B227:AF227 D229:AF230 B229:B235 D231:H231 J231:AF231 D232:AF235 U248:AF248">
    <cfRule type="expression" dxfId="3556" priority="108">
      <formula>B$9&gt;=20/24</formula>
    </cfRule>
    <cfRule type="expression" dxfId="3555" priority="109">
      <formula>AND(B$9&gt;=14/24,B$9&lt;20/24)</formula>
    </cfRule>
    <cfRule type="expression" dxfId="3554" priority="110">
      <formula>AND(B$9&gt;=8/24,B$9&lt;14/24)</formula>
    </cfRule>
    <cfRule type="expression" dxfId="3553" priority="111">
      <formula>B$9&lt;8/24</formula>
    </cfRule>
  </conditionalFormatting>
  <conditionalFormatting sqref="B72:AG72 B67:AG68">
    <cfRule type="expression" dxfId="3552" priority="42">
      <formula>B67&gt;$AG67</formula>
    </cfRule>
  </conditionalFormatting>
  <conditionalFormatting sqref="B72:AG72 B93:AF109">
    <cfRule type="expression" dxfId="3551" priority="43">
      <formula>B$9&gt;=20/24</formula>
    </cfRule>
    <cfRule type="expression" dxfId="3550" priority="44">
      <formula>AND(B$9&gt;=14/24,B$9&lt;20/24)</formula>
    </cfRule>
    <cfRule type="expression" dxfId="3549" priority="45">
      <formula>AND(B$9&gt;=8/24,B$9&lt;14/24)</formula>
    </cfRule>
    <cfRule type="expression" dxfId="3548" priority="46">
      <formula>B$9&lt;8/24</formula>
    </cfRule>
  </conditionalFormatting>
  <conditionalFormatting sqref="C65:L66 B64:L64 C55:O58 C59:L63 M59:O66 P55:AF66">
    <cfRule type="expression" dxfId="3547" priority="5">
      <formula>B55&gt;$AG55</formula>
    </cfRule>
  </conditionalFormatting>
  <conditionalFormatting sqref="D54:AG54">
    <cfRule type="expression" dxfId="3546" priority="76">
      <formula>D54&gt;$AG54</formula>
    </cfRule>
    <cfRule type="expression" dxfId="3545" priority="77">
      <formula>D$9&gt;=20/24</formula>
    </cfRule>
    <cfRule type="expression" dxfId="3544" priority="78">
      <formula>AND(D$9&gt;=14/24,D$9&lt;20/24)</formula>
    </cfRule>
    <cfRule type="expression" dxfId="3543" priority="79">
      <formula>AND(D$9&gt;=8/24,D$9&lt;14/24)</formula>
    </cfRule>
    <cfRule type="expression" dxfId="3542" priority="80">
      <formula>D$9&lt;8/24</formula>
    </cfRule>
  </conditionalFormatting>
  <conditionalFormatting sqref="E55:L57">
    <cfRule type="expression" dxfId="3541" priority="89">
      <formula>E$9&gt;=20/24</formula>
    </cfRule>
    <cfRule type="expression" dxfId="3540" priority="90">
      <formula>AND(E$9&gt;=14/24,E$9&lt;20/24)</formula>
    </cfRule>
    <cfRule type="expression" dxfId="3539" priority="91">
      <formula>AND(E$9&gt;=8/24,E$9&lt;14/24)</formula>
    </cfRule>
    <cfRule type="expression" dxfId="3538" priority="92">
      <formula>E$9&lt;8/24</formula>
    </cfRule>
  </conditionalFormatting>
  <conditionalFormatting sqref="M55:O58 N59:O59 P55:AF59">
    <cfRule type="expression" dxfId="3537" priority="93">
      <formula>M$9&gt;=20/24</formula>
    </cfRule>
    <cfRule type="expression" dxfId="3536" priority="94">
      <formula>AND(M$9&gt;=14/24,M$9&lt;20/24)</formula>
    </cfRule>
    <cfRule type="expression" dxfId="3535" priority="95">
      <formula>AND(M$9&gt;=8/24,M$9&lt;14/24)</formula>
    </cfRule>
    <cfRule type="expression" dxfId="3534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533" priority="114">
      <formula>C$9&gt;=20/24</formula>
    </cfRule>
  </conditionalFormatting>
  <conditionalFormatting sqref="S8">
    <cfRule type="expression" dxfId="3532" priority="101">
      <formula>U$9&gt;=20/24</formula>
    </cfRule>
    <cfRule type="expression" dxfId="3531" priority="102">
      <formula>AND(U$9&gt;=14/24,U$9&lt;20/24)</formula>
    </cfRule>
    <cfRule type="expression" dxfId="3530" priority="103">
      <formula>AND(U$9&gt;=8/24,U$9&lt;14/24)</formula>
    </cfRule>
    <cfRule type="expression" dxfId="3529" priority="104">
      <formula>U$9&lt;8/24</formula>
    </cfRule>
  </conditionalFormatting>
  <conditionalFormatting sqref="AD55:AF60">
    <cfRule type="expression" dxfId="3528" priority="10">
      <formula>AD$9&gt;=20/24</formula>
    </cfRule>
    <cfRule type="expression" dxfId="3527" priority="11">
      <formula>AND(AD$9&gt;=14/24,AD$9&lt;20/24)</formula>
    </cfRule>
    <cfRule type="expression" dxfId="3526" priority="12">
      <formula>AND(AD$9&gt;=8/24,AD$9&lt;14/24)</formula>
    </cfRule>
    <cfRule type="expression" dxfId="3525" priority="13">
      <formula>AD$9&lt;8/24</formula>
    </cfRule>
  </conditionalFormatting>
  <conditionalFormatting sqref="T248">
    <cfRule type="expression" dxfId="3524" priority="126">
      <formula>AX$9&gt;=20/24</formula>
    </cfRule>
    <cfRule type="expression" dxfId="3523" priority="127">
      <formula>AND(AX$9&gt;=14/24,AX$9&lt;20/24)</formula>
    </cfRule>
    <cfRule type="expression" dxfId="3522" priority="128">
      <formula>AND(AX$9&gt;=8/24,AX$9&lt;14/24)</formula>
    </cfRule>
    <cfRule type="expression" dxfId="3521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520" priority="97">
      <formula>AD$9&gt;=20/24</formula>
    </cfRule>
    <cfRule type="expression" dxfId="3519" priority="98">
      <formula>AND(AD$9&gt;=14/24,AD$9&lt;20/24)</formula>
    </cfRule>
    <cfRule type="expression" dxfId="3518" priority="99">
      <formula>AND(AD$9&gt;=8/24,AD$9&lt;14/24)</formula>
    </cfRule>
    <cfRule type="expression" dxfId="3517" priority="100">
      <formula>AD$9&lt;8/24</formula>
    </cfRule>
  </conditionalFormatting>
  <conditionalFormatting sqref="AE61:AF66">
    <cfRule type="expression" dxfId="3516" priority="6">
      <formula>AE$9&gt;=20/24</formula>
    </cfRule>
    <cfRule type="expression" dxfId="3515" priority="7">
      <formula>AND(AE$9&gt;=14/24,AE$9&lt;20/24)</formula>
    </cfRule>
    <cfRule type="expression" dxfId="3514" priority="8">
      <formula>AND(AE$9&gt;=8/24,AE$9&lt;14/24)</formula>
    </cfRule>
    <cfRule type="expression" dxfId="3513" priority="9">
      <formula>AE$9&lt;8/24</formula>
    </cfRule>
  </conditionalFormatting>
  <conditionalFormatting sqref="AG50">
    <cfRule type="expression" dxfId="3512" priority="84">
      <formula>AG50&gt;$AG50</formula>
    </cfRule>
  </conditionalFormatting>
  <conditionalFormatting sqref="AG89">
    <cfRule type="expression" dxfId="3511" priority="85">
      <formula>AG$9&gt;=20/24</formula>
    </cfRule>
    <cfRule type="expression" dxfId="3510" priority="86">
      <formula>AND(AG$9&gt;=14/24,AG$9&lt;20/24)</formula>
    </cfRule>
    <cfRule type="expression" dxfId="3509" priority="87">
      <formula>AND(AG$9&gt;=8/24,AG$9&lt;14/24)</formula>
    </cfRule>
    <cfRule type="expression" dxfId="3508" priority="88">
      <formula>AG$9&lt;8/24</formula>
    </cfRule>
  </conditionalFormatting>
  <conditionalFormatting sqref="AG248">
    <cfRule type="expression" dxfId="3507" priority="118">
      <formula>B$9&gt;=20/24</formula>
    </cfRule>
    <cfRule type="expression" dxfId="3506" priority="119">
      <formula>AND(B$9&gt;=14/24,B$9&lt;20/24)</formula>
    </cfRule>
    <cfRule type="expression" dxfId="3505" priority="120">
      <formula>AND(B$9&gt;=8/24,B$9&lt;14/24)</formula>
    </cfRule>
    <cfRule type="expression" dxfId="3504" priority="121">
      <formula>B$9&lt;8/24</formula>
    </cfRule>
  </conditionalFormatting>
  <conditionalFormatting sqref="AH248:AX248 C55:F63 E65:F65 C65:D66 B64:F64 G59:M65 N65:AF65">
    <cfRule type="expression" dxfId="3503" priority="122">
      <formula>A$9&gt;=20/24</formula>
    </cfRule>
    <cfRule type="expression" dxfId="3502" priority="123">
      <formula>AND(A$9&gt;=14/24,A$9&lt;20/24)</formula>
    </cfRule>
    <cfRule type="expression" dxfId="3501" priority="124">
      <formula>AND(A$9&gt;=8/24,A$9&lt;14/24)</formula>
    </cfRule>
    <cfRule type="expression" dxfId="3500" priority="125">
      <formula>A$9&lt;8/24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499" priority="131">
      <formula>AJ$9&gt;=20/24</formula>
    </cfRule>
    <cfRule type="expression" dxfId="3498" priority="132">
      <formula>AND(AJ$9&gt;=14/24,AJ$9&lt;20/24)</formula>
    </cfRule>
    <cfRule type="expression" dxfId="3497" priority="133">
      <formula>AND(AJ$9&gt;=8/24,AJ$9&lt;14/24)</formula>
    </cfRule>
    <cfRule type="expression" dxfId="3496" priority="134">
      <formula>AJ$9&lt;8/24</formula>
    </cfRule>
  </conditionalFormatting>
  <conditionalFormatting sqref="AL80:AN80 AL86:AN86">
    <cfRule type="expression" dxfId="3495" priority="72">
      <formula>AL$9&gt;=20/24</formula>
    </cfRule>
    <cfRule type="expression" dxfId="3494" priority="73">
      <formula>AND(AL$9&gt;=14/24,AL$9&lt;20/24)</formula>
    </cfRule>
    <cfRule type="expression" dxfId="3493" priority="74">
      <formula>AND(AL$9&gt;=8/24,AL$9&lt;14/24)</formula>
    </cfRule>
    <cfRule type="expression" dxfId="3492" priority="75">
      <formula>AL$9&lt;8/24</formula>
    </cfRule>
  </conditionalFormatting>
  <conditionalFormatting sqref="AN81:AN84">
    <cfRule type="expression" dxfId="3491" priority="68">
      <formula>AN$9&gt;=20/24</formula>
    </cfRule>
    <cfRule type="expression" dxfId="3490" priority="69">
      <formula>AND(AN$9&gt;=14/24,AN$9&lt;20/24)</formula>
    </cfRule>
    <cfRule type="expression" dxfId="3489" priority="70">
      <formula>AND(AN$9&gt;=8/24,AN$9&lt;14/24)</formula>
    </cfRule>
    <cfRule type="expression" dxfId="3488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7E2F3-442D-470A-BBF0-6507DD74ECEF}">
  <sheetPr codeName="Sheet26"/>
  <dimension ref="A1:CJ281"/>
  <sheetViews>
    <sheetView workbookViewId="0">
      <pane xSplit="1" ySplit="10" topLeftCell="Q7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F75" sqref="F75:AF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" style="1" bestFit="1" customWidth="1"/>
    <col min="12" max="12" width="7.28515625" style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2080/05/4</v>
      </c>
      <c r="C4" s="201"/>
      <c r="D4" s="201"/>
      <c r="E4" s="202" t="str">
        <f ca="1">"2080/"&amp;"05/"&amp;INT(MID(CELL("filename",G6),FIND("]",CELL("filename",G6))+1,200))</f>
        <v>2080/05/4</v>
      </c>
      <c r="F4" s="202"/>
      <c r="G4" s="202"/>
      <c r="H4" s="202" t="str">
        <f ca="1">TEXT(E4,"dddd")</f>
        <v>Saturday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40</v>
      </c>
      <c r="C5" s="30">
        <f t="shared" si="0"/>
        <v>33</v>
      </c>
      <c r="D5" s="30">
        <f t="shared" si="0"/>
        <v>25.3</v>
      </c>
      <c r="E5" s="30">
        <f t="shared" si="0"/>
        <v>26</v>
      </c>
      <c r="F5" s="30">
        <f t="shared" si="0"/>
        <v>21.1</v>
      </c>
      <c r="G5" s="30">
        <f t="shared" si="0"/>
        <v>25.3</v>
      </c>
      <c r="H5" s="30">
        <f t="shared" si="0"/>
        <v>25.3</v>
      </c>
      <c r="I5" s="30">
        <f t="shared" si="0"/>
        <v>19.8</v>
      </c>
      <c r="J5" s="30">
        <f t="shared" si="0"/>
        <v>522.20000000000005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2.9</v>
      </c>
      <c r="P5" s="30">
        <f t="shared" si="0"/>
        <v>3</v>
      </c>
      <c r="Q5" s="30">
        <f t="shared" si="0"/>
        <v>3</v>
      </c>
      <c r="R5" s="30">
        <f t="shared" si="0"/>
        <v>3</v>
      </c>
      <c r="S5" s="30">
        <f t="shared" si="0"/>
        <v>6.5</v>
      </c>
      <c r="T5" s="30">
        <f t="shared" si="0"/>
        <v>5.4</v>
      </c>
      <c r="U5" s="30">
        <f t="shared" si="0"/>
        <v>0.8</v>
      </c>
      <c r="V5" s="30">
        <f t="shared" si="0"/>
        <v>0</v>
      </c>
      <c r="W5" s="30">
        <f t="shared" si="0"/>
        <v>0</v>
      </c>
      <c r="X5" s="30">
        <f t="shared" si="0"/>
        <v>13</v>
      </c>
      <c r="Y5" s="30">
        <f t="shared" si="0"/>
        <v>23.3</v>
      </c>
      <c r="Z5" s="30">
        <f t="shared" si="0"/>
        <v>17.5</v>
      </c>
      <c r="AA5" s="30">
        <f t="shared" si="0"/>
        <v>20</v>
      </c>
      <c r="AB5" s="30">
        <f t="shared" si="0"/>
        <v>3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45.3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2546MW at 7:00hr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Load=1970</v>
      </c>
      <c r="B7" s="35">
        <f t="shared" ref="B7:AF7" si="1">B91</f>
        <v>2070.84</v>
      </c>
      <c r="C7" s="35">
        <f t="shared" si="1"/>
        <v>2063.04</v>
      </c>
      <c r="D7" s="35">
        <f t="shared" si="1"/>
        <v>2076.54</v>
      </c>
      <c r="E7" s="35">
        <f t="shared" si="1"/>
        <v>1998.4399999999998</v>
      </c>
      <c r="F7" s="35">
        <f t="shared" si="1"/>
        <v>1999.1399999999999</v>
      </c>
      <c r="G7" s="35">
        <f t="shared" si="1"/>
        <v>1994.2399999999998</v>
      </c>
      <c r="H7" s="35">
        <f t="shared" si="1"/>
        <v>2007.4399999999998</v>
      </c>
      <c r="I7" s="35">
        <f t="shared" si="1"/>
        <v>2007.4399999999998</v>
      </c>
      <c r="J7" s="35">
        <f t="shared" si="1"/>
        <v>2041.74</v>
      </c>
      <c r="K7" s="35">
        <f t="shared" si="1"/>
        <v>2546.1400000000003</v>
      </c>
      <c r="L7" s="35">
        <f t="shared" si="1"/>
        <v>2038.14</v>
      </c>
      <c r="M7" s="35">
        <f t="shared" si="1"/>
        <v>2025.14</v>
      </c>
      <c r="N7" s="35">
        <f>N91</f>
        <v>2064.14</v>
      </c>
      <c r="O7" s="35">
        <f t="shared" si="1"/>
        <v>2090.44</v>
      </c>
      <c r="P7" s="35">
        <f t="shared" si="1"/>
        <v>2098.7400000000002</v>
      </c>
      <c r="Q7" s="35">
        <f t="shared" si="1"/>
        <v>2041.94</v>
      </c>
      <c r="R7" s="35">
        <f t="shared" si="1"/>
        <v>2041.94</v>
      </c>
      <c r="S7" s="35">
        <f t="shared" si="1"/>
        <v>2074.2399999999998</v>
      </c>
      <c r="T7" s="35">
        <f t="shared" si="1"/>
        <v>2084.1400000000003</v>
      </c>
      <c r="U7" s="35">
        <f t="shared" si="1"/>
        <v>2069.7400000000002</v>
      </c>
      <c r="V7" s="35">
        <f t="shared" si="1"/>
        <v>2055.7400000000002</v>
      </c>
      <c r="W7" s="35">
        <f t="shared" si="1"/>
        <v>2025.14</v>
      </c>
      <c r="X7" s="35">
        <f t="shared" si="1"/>
        <v>2066.54</v>
      </c>
      <c r="Y7" s="35">
        <f t="shared" si="1"/>
        <v>2151.54</v>
      </c>
      <c r="Z7" s="35">
        <f t="shared" si="1"/>
        <v>2202.7400000000002</v>
      </c>
      <c r="AA7" s="35">
        <f t="shared" si="1"/>
        <v>2177.34</v>
      </c>
      <c r="AB7" s="35">
        <f t="shared" si="1"/>
        <v>2154.64</v>
      </c>
      <c r="AC7" s="35">
        <f t="shared" si="1"/>
        <v>2113.64</v>
      </c>
      <c r="AD7" s="35">
        <f t="shared" si="1"/>
        <v>2110.64</v>
      </c>
      <c r="AE7" s="35">
        <f t="shared" si="1"/>
        <v>2018.14</v>
      </c>
      <c r="AF7" s="35">
        <f t="shared" si="1"/>
        <v>1970.44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85</v>
      </c>
      <c r="M11" s="45">
        <v>85</v>
      </c>
      <c r="N11" s="45">
        <v>85.7</v>
      </c>
      <c r="O11" s="45">
        <v>85.8</v>
      </c>
      <c r="P11" s="45">
        <v>85.6</v>
      </c>
      <c r="Q11" s="45">
        <v>85.7</v>
      </c>
      <c r="R11" s="45">
        <v>85.7</v>
      </c>
      <c r="S11" s="45">
        <v>85.7</v>
      </c>
      <c r="T11" s="45">
        <v>85.7</v>
      </c>
      <c r="U11" s="45">
        <v>85.7</v>
      </c>
      <c r="V11" s="45">
        <v>85.7</v>
      </c>
      <c r="W11" s="45">
        <v>85.7</v>
      </c>
      <c r="X11" s="45">
        <v>85.8</v>
      </c>
      <c r="Y11" s="45">
        <v>85.8</v>
      </c>
      <c r="Z11" s="45">
        <v>85.8</v>
      </c>
      <c r="AA11" s="45">
        <v>85.9</v>
      </c>
      <c r="AB11" s="45">
        <v>85.9</v>
      </c>
      <c r="AC11" s="45">
        <v>85.9</v>
      </c>
      <c r="AD11" s="45">
        <v>85.9</v>
      </c>
      <c r="AE11" s="45">
        <v>85.9</v>
      </c>
      <c r="AF11" s="45">
        <v>85.9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85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13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54.4</v>
      </c>
      <c r="D13" s="45">
        <v>54.4</v>
      </c>
      <c r="E13" s="45">
        <v>54.4</v>
      </c>
      <c r="F13" s="45">
        <v>54.4</v>
      </c>
      <c r="G13" s="45">
        <v>54.4</v>
      </c>
      <c r="H13" s="45">
        <v>54.4</v>
      </c>
      <c r="I13" s="45">
        <v>54.4</v>
      </c>
      <c r="J13" s="45">
        <v>54.4</v>
      </c>
      <c r="K13" s="45">
        <v>54.4</v>
      </c>
      <c r="L13" s="45">
        <v>54.4</v>
      </c>
      <c r="M13" s="45">
        <v>54.4</v>
      </c>
      <c r="N13" s="45">
        <v>54.4</v>
      </c>
      <c r="O13" s="45">
        <v>54</v>
      </c>
      <c r="P13" s="45">
        <v>54.3</v>
      </c>
      <c r="Q13" s="45">
        <v>54.5</v>
      </c>
      <c r="R13" s="45">
        <v>54.5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54.5</v>
      </c>
      <c r="AG13" s="46">
        <v>52.4</v>
      </c>
      <c r="AH13" s="47">
        <f t="shared" si="2"/>
        <v>54.5</v>
      </c>
      <c r="AI13" s="48">
        <f t="shared" si="3"/>
        <v>54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50.7</v>
      </c>
      <c r="D14" s="58">
        <v>50.7</v>
      </c>
      <c r="E14" s="58">
        <v>50.7</v>
      </c>
      <c r="F14" s="58">
        <v>50.7</v>
      </c>
      <c r="G14" s="58">
        <v>50.7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50.7</v>
      </c>
      <c r="N14" s="58">
        <v>50.6</v>
      </c>
      <c r="O14" s="58">
        <v>50.6</v>
      </c>
      <c r="P14" s="58">
        <v>50.6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45">
        <v>50.5</v>
      </c>
      <c r="AA14" s="45">
        <v>50.5</v>
      </c>
      <c r="AB14" s="45">
        <v>50.5</v>
      </c>
      <c r="AC14" s="45">
        <v>50.5</v>
      </c>
      <c r="AD14" s="45">
        <v>50.5</v>
      </c>
      <c r="AE14" s="45">
        <v>50.5</v>
      </c>
      <c r="AF14" s="45">
        <v>50.5</v>
      </c>
      <c r="AG14" s="49">
        <v>50</v>
      </c>
      <c r="AH14" s="47">
        <f t="shared" si="2"/>
        <v>50.7</v>
      </c>
      <c r="AI14" s="48">
        <f t="shared" si="3"/>
        <v>50.5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46.9</v>
      </c>
      <c r="C15" s="45">
        <v>46.9</v>
      </c>
      <c r="D15" s="45">
        <v>46.9</v>
      </c>
      <c r="E15" s="45">
        <v>40</v>
      </c>
      <c r="F15" s="45">
        <v>40</v>
      </c>
      <c r="G15" s="45">
        <v>40</v>
      </c>
      <c r="H15" s="45">
        <v>40</v>
      </c>
      <c r="I15" s="45">
        <v>40</v>
      </c>
      <c r="J15" s="45">
        <v>40</v>
      </c>
      <c r="K15" s="45">
        <v>40</v>
      </c>
      <c r="L15" s="45">
        <v>41.8</v>
      </c>
      <c r="M15" s="45">
        <v>41.8</v>
      </c>
      <c r="N15" s="45">
        <v>46.7</v>
      </c>
      <c r="O15" s="45">
        <v>46.6</v>
      </c>
      <c r="P15" s="45">
        <v>46.7</v>
      </c>
      <c r="Q15" s="45">
        <v>16.600000000000001</v>
      </c>
      <c r="R15" s="45">
        <v>16.600000000000001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46.7</v>
      </c>
      <c r="AC15" s="45">
        <v>46.7</v>
      </c>
      <c r="AD15" s="45">
        <v>46.7</v>
      </c>
      <c r="AE15" s="45">
        <v>46.7</v>
      </c>
      <c r="AF15" s="45">
        <v>46.7</v>
      </c>
      <c r="AG15" s="49">
        <v>45</v>
      </c>
      <c r="AH15" s="47">
        <f t="shared" si="2"/>
        <v>46.9</v>
      </c>
      <c r="AI15" s="48">
        <f t="shared" si="3"/>
        <v>16.600000000000001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26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30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26.5</v>
      </c>
      <c r="AF17" s="45">
        <v>26.5</v>
      </c>
      <c r="AG17" s="49">
        <v>42</v>
      </c>
      <c r="AH17" s="47">
        <f t="shared" si="2"/>
        <v>30</v>
      </c>
      <c r="AI17" s="48">
        <f t="shared" si="3"/>
        <v>26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27</v>
      </c>
      <c r="C18" s="45">
        <v>27</v>
      </c>
      <c r="D18" s="45">
        <v>27</v>
      </c>
      <c r="E18" s="45">
        <v>27</v>
      </c>
      <c r="F18" s="45">
        <v>27</v>
      </c>
      <c r="G18" s="45">
        <v>27</v>
      </c>
      <c r="H18" s="45">
        <v>27</v>
      </c>
      <c r="I18" s="45">
        <v>27</v>
      </c>
      <c r="J18" s="45">
        <v>27</v>
      </c>
      <c r="K18" s="45">
        <v>27</v>
      </c>
      <c r="L18" s="45">
        <v>27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0</v>
      </c>
      <c r="AG18" s="49">
        <v>38.46</v>
      </c>
      <c r="AH18" s="47">
        <f t="shared" si="2"/>
        <v>27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10</v>
      </c>
      <c r="C20" s="45">
        <v>10</v>
      </c>
      <c r="D20" s="45">
        <v>20</v>
      </c>
      <c r="E20" s="45">
        <v>20</v>
      </c>
      <c r="F20" s="45">
        <v>20</v>
      </c>
      <c r="G20" s="45">
        <v>20</v>
      </c>
      <c r="H20" s="45">
        <v>20</v>
      </c>
      <c r="I20" s="45">
        <v>20</v>
      </c>
      <c r="J20" s="45">
        <v>10.6</v>
      </c>
      <c r="K20" s="45">
        <v>10.6</v>
      </c>
      <c r="L20" s="45">
        <v>20</v>
      </c>
      <c r="M20" s="45">
        <v>20</v>
      </c>
      <c r="N20" s="45">
        <v>20</v>
      </c>
      <c r="O20" s="45">
        <v>20</v>
      </c>
      <c r="P20" s="45">
        <v>20</v>
      </c>
      <c r="Q20" s="45">
        <v>18</v>
      </c>
      <c r="R20" s="45">
        <v>18</v>
      </c>
      <c r="S20" s="45">
        <v>16</v>
      </c>
      <c r="T20" s="45">
        <v>16</v>
      </c>
      <c r="U20" s="45">
        <v>16</v>
      </c>
      <c r="V20" s="45">
        <v>16</v>
      </c>
      <c r="W20" s="45">
        <v>25</v>
      </c>
      <c r="X20" s="45">
        <v>25</v>
      </c>
      <c r="Y20" s="45">
        <v>20.5</v>
      </c>
      <c r="Z20" s="45">
        <v>20.5</v>
      </c>
      <c r="AA20" s="45">
        <v>30</v>
      </c>
      <c r="AB20" s="45">
        <v>30</v>
      </c>
      <c r="AC20" s="45">
        <v>30</v>
      </c>
      <c r="AD20" s="45">
        <v>30</v>
      </c>
      <c r="AE20" s="45">
        <v>20</v>
      </c>
      <c r="AF20" s="45">
        <v>5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33.1</v>
      </c>
      <c r="C21" s="45">
        <v>33.1</v>
      </c>
      <c r="D21" s="45">
        <v>33.1</v>
      </c>
      <c r="E21" s="45">
        <v>33.1</v>
      </c>
      <c r="F21" s="45">
        <v>33.1</v>
      </c>
      <c r="G21" s="45">
        <v>33.1</v>
      </c>
      <c r="H21" s="45">
        <v>33.1</v>
      </c>
      <c r="I21" s="45">
        <v>33.1</v>
      </c>
      <c r="J21" s="45">
        <v>33.1</v>
      </c>
      <c r="K21" s="45">
        <v>33.1</v>
      </c>
      <c r="L21" s="45">
        <v>33.1</v>
      </c>
      <c r="M21" s="45">
        <v>33.1</v>
      </c>
      <c r="N21" s="45">
        <v>26.2</v>
      </c>
      <c r="O21" s="45">
        <v>20.7</v>
      </c>
      <c r="P21" s="45">
        <v>20.7</v>
      </c>
      <c r="Q21" s="45">
        <v>26.1</v>
      </c>
      <c r="R21" s="45">
        <v>26.1</v>
      </c>
      <c r="S21" s="45">
        <v>24.8</v>
      </c>
      <c r="T21" s="45">
        <v>32.9</v>
      </c>
      <c r="U21" s="45">
        <v>32.9</v>
      </c>
      <c r="V21" s="45">
        <v>32.9</v>
      </c>
      <c r="W21" s="45">
        <v>32.9</v>
      </c>
      <c r="X21" s="45">
        <v>32.9</v>
      </c>
      <c r="Y21" s="45">
        <v>33.1</v>
      </c>
      <c r="Z21" s="45">
        <v>33.1</v>
      </c>
      <c r="AA21" s="45">
        <v>33.1</v>
      </c>
      <c r="AB21" s="45">
        <v>33.1</v>
      </c>
      <c r="AC21" s="45">
        <v>33.1</v>
      </c>
      <c r="AD21" s="45">
        <v>33.1</v>
      </c>
      <c r="AE21" s="45">
        <v>29</v>
      </c>
      <c r="AF21" s="45">
        <v>20</v>
      </c>
      <c r="AG21" s="49">
        <v>24.2</v>
      </c>
      <c r="AH21" s="47">
        <f t="shared" si="2"/>
        <v>33.1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26.5</v>
      </c>
      <c r="C22" s="45">
        <v>26.5</v>
      </c>
      <c r="D22" s="45">
        <v>26.5</v>
      </c>
      <c r="E22" s="45">
        <v>26.5</v>
      </c>
      <c r="F22" s="45">
        <v>26.5</v>
      </c>
      <c r="G22" s="45">
        <v>26.5</v>
      </c>
      <c r="H22" s="45">
        <v>26.5</v>
      </c>
      <c r="I22" s="45">
        <v>26.5</v>
      </c>
      <c r="J22" s="45">
        <v>26.5</v>
      </c>
      <c r="K22" s="45">
        <v>26.5</v>
      </c>
      <c r="L22" s="45">
        <v>26.5</v>
      </c>
      <c r="M22" s="45">
        <v>26.5</v>
      </c>
      <c r="N22" s="45">
        <v>28.6</v>
      </c>
      <c r="O22" s="45">
        <v>28.6</v>
      </c>
      <c r="P22" s="45">
        <v>28.6</v>
      </c>
      <c r="Q22" s="45">
        <v>28.5</v>
      </c>
      <c r="R22" s="45">
        <v>28.5</v>
      </c>
      <c r="S22" s="45">
        <v>28.5</v>
      </c>
      <c r="T22" s="45">
        <v>28.5</v>
      </c>
      <c r="U22" s="45">
        <v>28.5</v>
      </c>
      <c r="V22" s="45">
        <v>28.5</v>
      </c>
      <c r="W22" s="45">
        <v>28.5</v>
      </c>
      <c r="X22" s="45">
        <v>28.5</v>
      </c>
      <c r="Y22" s="45">
        <v>28.5</v>
      </c>
      <c r="Z22" s="45">
        <v>28.5</v>
      </c>
      <c r="AA22" s="45">
        <v>28.5</v>
      </c>
      <c r="AB22" s="45">
        <v>28.5</v>
      </c>
      <c r="AC22" s="45">
        <v>28.5</v>
      </c>
      <c r="AD22" s="45">
        <v>28.5</v>
      </c>
      <c r="AE22" s="45">
        <v>28.5</v>
      </c>
      <c r="AF22" s="45">
        <v>20</v>
      </c>
      <c r="AG22" s="49">
        <v>28</v>
      </c>
      <c r="AH22" s="47">
        <f t="shared" si="2"/>
        <v>28.6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9</v>
      </c>
      <c r="C23" s="45">
        <v>3</v>
      </c>
      <c r="D23" s="45">
        <v>13.5</v>
      </c>
      <c r="E23" s="45">
        <v>13.5</v>
      </c>
      <c r="F23" s="45">
        <v>13.5</v>
      </c>
      <c r="G23" s="45">
        <v>13.5</v>
      </c>
      <c r="H23" s="45">
        <v>13.5</v>
      </c>
      <c r="I23" s="45">
        <v>13.5</v>
      </c>
      <c r="J23" s="45">
        <v>9</v>
      </c>
      <c r="K23" s="45">
        <v>9</v>
      </c>
      <c r="L23" s="45">
        <v>9</v>
      </c>
      <c r="M23" s="45">
        <v>9</v>
      </c>
      <c r="N23" s="45">
        <v>9</v>
      </c>
      <c r="O23" s="45">
        <v>9</v>
      </c>
      <c r="P23" s="45">
        <v>9</v>
      </c>
      <c r="Q23" s="45">
        <v>9</v>
      </c>
      <c r="R23" s="45">
        <v>9</v>
      </c>
      <c r="S23" s="45">
        <v>13.5</v>
      </c>
      <c r="T23" s="45">
        <v>13.5</v>
      </c>
      <c r="U23" s="45">
        <v>13.5</v>
      </c>
      <c r="V23" s="45">
        <v>13.5</v>
      </c>
      <c r="W23" s="45">
        <v>13.5</v>
      </c>
      <c r="X23" s="45">
        <v>20</v>
      </c>
      <c r="Y23" s="45">
        <v>20</v>
      </c>
      <c r="Z23" s="45">
        <v>20</v>
      </c>
      <c r="AA23" s="45">
        <v>27</v>
      </c>
      <c r="AB23" s="45">
        <v>27</v>
      </c>
      <c r="AC23" s="45">
        <v>27</v>
      </c>
      <c r="AD23" s="45">
        <v>27</v>
      </c>
      <c r="AE23" s="45">
        <v>0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27</v>
      </c>
      <c r="C24" s="45">
        <v>27</v>
      </c>
      <c r="D24" s="45">
        <v>27</v>
      </c>
      <c r="E24" s="45">
        <v>27</v>
      </c>
      <c r="F24" s="45">
        <v>27</v>
      </c>
      <c r="G24" s="45">
        <v>27</v>
      </c>
      <c r="H24" s="45">
        <v>27</v>
      </c>
      <c r="I24" s="45">
        <v>27</v>
      </c>
      <c r="J24" s="45">
        <v>27</v>
      </c>
      <c r="K24" s="45">
        <v>27</v>
      </c>
      <c r="L24" s="45">
        <v>27</v>
      </c>
      <c r="M24" s="45">
        <v>27</v>
      </c>
      <c r="N24" s="45">
        <v>25.1</v>
      </c>
      <c r="O24" s="45">
        <v>25.1</v>
      </c>
      <c r="P24" s="45">
        <v>25.1</v>
      </c>
      <c r="Q24" s="45">
        <v>25.3</v>
      </c>
      <c r="R24" s="45">
        <v>25.3</v>
      </c>
      <c r="S24" s="45">
        <v>25.3</v>
      </c>
      <c r="T24" s="45">
        <v>25.3</v>
      </c>
      <c r="U24" s="45">
        <v>25.3</v>
      </c>
      <c r="V24" s="45">
        <v>25.3</v>
      </c>
      <c r="W24" s="45">
        <v>25.3</v>
      </c>
      <c r="X24" s="45">
        <v>25.3</v>
      </c>
      <c r="Y24" s="45">
        <v>25.3</v>
      </c>
      <c r="Z24" s="45">
        <v>25.3</v>
      </c>
      <c r="AA24" s="45">
        <v>25.3</v>
      </c>
      <c r="AB24" s="45">
        <v>25.3</v>
      </c>
      <c r="AC24" s="45">
        <v>25.3</v>
      </c>
      <c r="AD24" s="45">
        <v>25.3</v>
      </c>
      <c r="AE24" s="45">
        <v>24</v>
      </c>
      <c r="AF24" s="45">
        <v>24</v>
      </c>
      <c r="AG24" s="49">
        <v>25</v>
      </c>
      <c r="AH24" s="47">
        <f t="shared" si="2"/>
        <v>27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8</v>
      </c>
      <c r="C27" s="45">
        <v>12.5</v>
      </c>
      <c r="D27" s="45">
        <v>12.5</v>
      </c>
      <c r="E27" s="45">
        <v>12.5</v>
      </c>
      <c r="F27" s="45">
        <v>12.5</v>
      </c>
      <c r="G27" s="45">
        <v>12.5</v>
      </c>
      <c r="H27" s="45">
        <v>12.5</v>
      </c>
      <c r="I27" s="45">
        <v>12.5</v>
      </c>
      <c r="J27" s="45">
        <v>8</v>
      </c>
      <c r="K27" s="45">
        <v>8</v>
      </c>
      <c r="L27" s="45">
        <v>8</v>
      </c>
      <c r="M27" s="45">
        <v>8</v>
      </c>
      <c r="N27" s="45">
        <v>3</v>
      </c>
      <c r="O27" s="45">
        <v>8</v>
      </c>
      <c r="P27" s="45">
        <v>8</v>
      </c>
      <c r="Q27" s="45">
        <v>8</v>
      </c>
      <c r="R27" s="45">
        <v>8</v>
      </c>
      <c r="S27" s="45">
        <v>12.5</v>
      </c>
      <c r="T27" s="45">
        <v>12.5</v>
      </c>
      <c r="U27" s="45">
        <v>12.5</v>
      </c>
      <c r="V27" s="45">
        <v>12.5</v>
      </c>
      <c r="W27" s="45">
        <v>12.5</v>
      </c>
      <c r="X27" s="45">
        <v>18</v>
      </c>
      <c r="Y27" s="45">
        <v>18</v>
      </c>
      <c r="Z27" s="45">
        <v>18</v>
      </c>
      <c r="AA27" s="45">
        <v>25</v>
      </c>
      <c r="AB27" s="45">
        <v>25</v>
      </c>
      <c r="AC27" s="45">
        <v>25</v>
      </c>
      <c r="AD27" s="45">
        <v>25</v>
      </c>
      <c r="AE27" s="45">
        <v>5</v>
      </c>
      <c r="AF27" s="45">
        <v>5</v>
      </c>
      <c r="AG27" s="49">
        <v>25</v>
      </c>
      <c r="AH27" s="47">
        <f t="shared" si="2"/>
        <v>25</v>
      </c>
      <c r="AI27" s="48">
        <f t="shared" si="3"/>
        <v>3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45">
        <v>0</v>
      </c>
      <c r="M28" s="45">
        <v>0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0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22</v>
      </c>
      <c r="C29" s="45">
        <v>22</v>
      </c>
      <c r="D29" s="45">
        <v>22</v>
      </c>
      <c r="E29" s="45">
        <v>22</v>
      </c>
      <c r="F29" s="45">
        <v>22</v>
      </c>
      <c r="G29" s="45">
        <v>22</v>
      </c>
      <c r="H29" s="45">
        <v>22</v>
      </c>
      <c r="I29" s="45">
        <v>22</v>
      </c>
      <c r="J29" s="45">
        <v>22</v>
      </c>
      <c r="K29" s="45">
        <v>22</v>
      </c>
      <c r="L29" s="45">
        <v>22</v>
      </c>
      <c r="M29" s="45">
        <v>22</v>
      </c>
      <c r="N29" s="45">
        <v>22</v>
      </c>
      <c r="O29" s="45">
        <v>22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22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5</v>
      </c>
      <c r="I33" s="45">
        <v>5</v>
      </c>
      <c r="J33" s="45">
        <v>5</v>
      </c>
      <c r="K33" s="45">
        <v>5</v>
      </c>
      <c r="L33" s="45">
        <v>10</v>
      </c>
      <c r="M33" s="45">
        <v>10</v>
      </c>
      <c r="N33" s="45">
        <v>15</v>
      </c>
      <c r="O33" s="45">
        <v>10</v>
      </c>
      <c r="P33" s="45">
        <v>10</v>
      </c>
      <c r="Q33" s="45">
        <v>10</v>
      </c>
      <c r="R33" s="45">
        <v>10</v>
      </c>
      <c r="S33" s="45">
        <v>10</v>
      </c>
      <c r="T33" s="45">
        <v>10</v>
      </c>
      <c r="U33" s="45">
        <v>10</v>
      </c>
      <c r="V33" s="45">
        <v>10</v>
      </c>
      <c r="W33" s="45">
        <v>10</v>
      </c>
      <c r="X33" s="45">
        <v>10</v>
      </c>
      <c r="Y33" s="45">
        <v>10</v>
      </c>
      <c r="Z33" s="45">
        <v>10</v>
      </c>
      <c r="AA33" s="45">
        <v>10</v>
      </c>
      <c r="AB33" s="45">
        <v>10</v>
      </c>
      <c r="AC33" s="45">
        <v>10</v>
      </c>
      <c r="AD33" s="45">
        <v>10</v>
      </c>
      <c r="AE33" s="45">
        <v>5</v>
      </c>
      <c r="AF33" s="45">
        <v>5</v>
      </c>
      <c r="AG33" s="49">
        <v>20</v>
      </c>
      <c r="AH33" s="47">
        <f t="shared" si="2"/>
        <v>15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4</v>
      </c>
      <c r="I34" s="45">
        <v>4</v>
      </c>
      <c r="J34" s="45">
        <v>4</v>
      </c>
      <c r="K34" s="45">
        <v>4</v>
      </c>
      <c r="L34" s="45">
        <v>9</v>
      </c>
      <c r="M34" s="45">
        <v>9</v>
      </c>
      <c r="N34" s="45">
        <v>9</v>
      </c>
      <c r="O34" s="45">
        <v>9</v>
      </c>
      <c r="P34" s="45">
        <v>9</v>
      </c>
      <c r="Q34" s="45">
        <v>9</v>
      </c>
      <c r="R34" s="45">
        <v>9</v>
      </c>
      <c r="S34" s="45">
        <v>5</v>
      </c>
      <c r="T34" s="45">
        <v>5</v>
      </c>
      <c r="U34" s="45">
        <v>5</v>
      </c>
      <c r="V34" s="45">
        <v>5</v>
      </c>
      <c r="W34" s="45">
        <v>5</v>
      </c>
      <c r="X34" s="45">
        <v>5</v>
      </c>
      <c r="Y34" s="45">
        <v>5</v>
      </c>
      <c r="Z34" s="45">
        <v>8.5</v>
      </c>
      <c r="AA34" s="45">
        <v>8.5</v>
      </c>
      <c r="AB34" s="45">
        <v>8.5</v>
      </c>
      <c r="AC34" s="45">
        <v>8.5</v>
      </c>
      <c r="AD34" s="45">
        <v>8.5</v>
      </c>
      <c r="AE34" s="45">
        <v>5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9">
        <v>14.9</v>
      </c>
      <c r="AH35" s="47">
        <f t="shared" si="2"/>
        <v>0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9</v>
      </c>
      <c r="C39" s="45">
        <v>6</v>
      </c>
      <c r="D39" s="45">
        <v>6</v>
      </c>
      <c r="E39" s="45">
        <v>6</v>
      </c>
      <c r="F39" s="45">
        <v>6</v>
      </c>
      <c r="G39" s="45">
        <v>6</v>
      </c>
      <c r="H39" s="45">
        <v>6</v>
      </c>
      <c r="I39" s="45">
        <v>6</v>
      </c>
      <c r="J39" s="45">
        <v>4</v>
      </c>
      <c r="K39" s="45">
        <v>4</v>
      </c>
      <c r="L39" s="45">
        <v>4</v>
      </c>
      <c r="M39" s="45">
        <v>4</v>
      </c>
      <c r="N39" s="45">
        <v>6</v>
      </c>
      <c r="O39" s="45">
        <v>6</v>
      </c>
      <c r="P39" s="45">
        <v>6</v>
      </c>
      <c r="Q39" s="45">
        <v>6</v>
      </c>
      <c r="R39" s="45">
        <v>6</v>
      </c>
      <c r="S39" s="45">
        <v>6</v>
      </c>
      <c r="T39" s="45">
        <v>6</v>
      </c>
      <c r="U39" s="45">
        <v>6</v>
      </c>
      <c r="V39" s="45">
        <v>6</v>
      </c>
      <c r="W39" s="45">
        <v>6</v>
      </c>
      <c r="X39" s="45">
        <v>6</v>
      </c>
      <c r="Y39" s="45">
        <v>6</v>
      </c>
      <c r="Z39" s="45">
        <v>6</v>
      </c>
      <c r="AA39" s="45">
        <v>6</v>
      </c>
      <c r="AB39" s="45">
        <v>6</v>
      </c>
      <c r="AC39" s="45">
        <v>6</v>
      </c>
      <c r="AD39" s="45">
        <v>6</v>
      </c>
      <c r="AE39" s="45">
        <v>3</v>
      </c>
      <c r="AF39" s="45">
        <v>3</v>
      </c>
      <c r="AG39" s="49">
        <v>12</v>
      </c>
      <c r="AH39" s="47">
        <f t="shared" si="2"/>
        <v>9</v>
      </c>
      <c r="AI39" s="48">
        <f t="shared" si="3"/>
        <v>3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3</v>
      </c>
      <c r="C40" s="45">
        <v>3</v>
      </c>
      <c r="D40" s="45">
        <v>3</v>
      </c>
      <c r="E40" s="45">
        <v>3</v>
      </c>
      <c r="F40" s="45">
        <v>3</v>
      </c>
      <c r="G40" s="45">
        <v>3</v>
      </c>
      <c r="H40" s="45">
        <v>3</v>
      </c>
      <c r="I40" s="45">
        <v>3</v>
      </c>
      <c r="J40" s="45">
        <v>3</v>
      </c>
      <c r="K40" s="45">
        <v>3</v>
      </c>
      <c r="L40" s="45">
        <v>3</v>
      </c>
      <c r="M40" s="45">
        <v>8</v>
      </c>
      <c r="N40" s="45">
        <v>8</v>
      </c>
      <c r="O40" s="45">
        <v>8</v>
      </c>
      <c r="P40" s="45">
        <v>8</v>
      </c>
      <c r="Q40" s="45">
        <v>8</v>
      </c>
      <c r="R40" s="45">
        <v>8</v>
      </c>
      <c r="S40" s="45">
        <v>8</v>
      </c>
      <c r="T40" s="45">
        <v>8</v>
      </c>
      <c r="U40" s="45">
        <v>8</v>
      </c>
      <c r="V40" s="45">
        <v>8</v>
      </c>
      <c r="W40" s="45">
        <v>8</v>
      </c>
      <c r="X40" s="45">
        <v>8</v>
      </c>
      <c r="Y40" s="45">
        <v>8</v>
      </c>
      <c r="Z40" s="45">
        <v>8</v>
      </c>
      <c r="AA40" s="45">
        <v>8</v>
      </c>
      <c r="AB40" s="45">
        <v>8</v>
      </c>
      <c r="AC40" s="45">
        <v>8</v>
      </c>
      <c r="AD40" s="45">
        <v>8</v>
      </c>
      <c r="AE40" s="45">
        <v>8</v>
      </c>
      <c r="AF40" s="45">
        <v>8</v>
      </c>
      <c r="AG40" s="49">
        <v>12</v>
      </c>
      <c r="AH40" s="47">
        <f t="shared" si="2"/>
        <v>8</v>
      </c>
      <c r="AI40" s="48">
        <f t="shared" si="3"/>
        <v>3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375.6</v>
      </c>
      <c r="C48" s="56">
        <v>375.6</v>
      </c>
      <c r="D48" s="56">
        <v>375.6</v>
      </c>
      <c r="E48" s="56">
        <v>375.6</v>
      </c>
      <c r="F48" s="56">
        <v>375.6</v>
      </c>
      <c r="G48" s="56">
        <v>375.6</v>
      </c>
      <c r="H48" s="56">
        <v>375.6</v>
      </c>
      <c r="I48" s="56">
        <v>375.6</v>
      </c>
      <c r="J48" s="56">
        <v>375.6</v>
      </c>
      <c r="K48" s="56">
        <v>375.6</v>
      </c>
      <c r="L48" s="56">
        <v>375.6</v>
      </c>
      <c r="M48" s="56">
        <v>375.6</v>
      </c>
      <c r="N48" s="56">
        <v>375.6</v>
      </c>
      <c r="O48" s="56">
        <v>375.6</v>
      </c>
      <c r="P48" s="56">
        <v>375.6</v>
      </c>
      <c r="Q48" s="56">
        <v>375.6</v>
      </c>
      <c r="R48" s="56">
        <v>375.6</v>
      </c>
      <c r="S48" s="56">
        <v>375.6</v>
      </c>
      <c r="T48" s="56">
        <v>375.6</v>
      </c>
      <c r="U48" s="56">
        <v>375.6</v>
      </c>
      <c r="V48" s="56">
        <v>375.6</v>
      </c>
      <c r="W48" s="56">
        <v>375.6</v>
      </c>
      <c r="X48" s="56">
        <v>375.6</v>
      </c>
      <c r="Y48" s="56">
        <v>375.6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375.6</v>
      </c>
      <c r="AK48" s="50"/>
    </row>
    <row r="49" spans="1:41" ht="15.75" thickBot="1" x14ac:dyDescent="0.3">
      <c r="A49" s="57" t="s">
        <v>57</v>
      </c>
      <c r="B49" s="56"/>
      <c r="C49" s="56"/>
      <c r="D49" s="56"/>
      <c r="E49" s="56"/>
      <c r="F49" s="56"/>
      <c r="G49" s="56"/>
      <c r="H49" s="56">
        <v>120</v>
      </c>
      <c r="I49" s="56">
        <v>120</v>
      </c>
      <c r="J49" s="56">
        <v>120</v>
      </c>
      <c r="K49" s="56">
        <v>119</v>
      </c>
      <c r="L49" s="56">
        <v>120</v>
      </c>
      <c r="M49" s="56">
        <v>120</v>
      </c>
      <c r="N49" s="58">
        <f>85.9+33.6</f>
        <v>119.5</v>
      </c>
      <c r="O49" s="58">
        <f>85.6+33.5</f>
        <v>119.1</v>
      </c>
      <c r="P49" s="58">
        <f>83.1+33.2</f>
        <v>116.3</v>
      </c>
      <c r="Q49" s="58"/>
      <c r="R49" s="58"/>
      <c r="S49" s="58">
        <v>120.3</v>
      </c>
      <c r="T49" s="58">
        <v>120.3</v>
      </c>
      <c r="U49" s="58">
        <v>120.3</v>
      </c>
      <c r="V49" s="58">
        <v>111</v>
      </c>
      <c r="W49" s="58">
        <v>111</v>
      </c>
      <c r="X49" s="58">
        <v>111</v>
      </c>
      <c r="Y49" s="58">
        <v>114.5</v>
      </c>
      <c r="Z49" s="56">
        <v>114.5</v>
      </c>
      <c r="AA49" s="56">
        <v>114.5</v>
      </c>
      <c r="AB49" s="56">
        <v>114.5</v>
      </c>
      <c r="AC49" s="56">
        <v>114.5</v>
      </c>
      <c r="AD49" s="56">
        <v>114.5</v>
      </c>
      <c r="AE49" s="56">
        <v>114.5</v>
      </c>
      <c r="AF49" s="56">
        <v>114.5</v>
      </c>
      <c r="AG49" s="54">
        <v>240</v>
      </c>
      <c r="AH49" s="47">
        <f t="shared" si="2"/>
        <v>120.3</v>
      </c>
      <c r="AI49" s="48">
        <f t="shared" si="3"/>
        <v>111</v>
      </c>
      <c r="AK49" s="50"/>
    </row>
    <row r="50" spans="1:41" ht="15.75" thickBot="1" x14ac:dyDescent="0.3">
      <c r="A50" s="59" t="s">
        <v>58</v>
      </c>
      <c r="B50" s="60">
        <f t="shared" ref="B50:AD50" si="4">SUM(B11:B48)</f>
        <v>1058.4000000000001</v>
      </c>
      <c r="C50" s="60">
        <f t="shared" si="4"/>
        <v>1055.9000000000001</v>
      </c>
      <c r="D50" s="60">
        <f t="shared" si="4"/>
        <v>1076.4000000000001</v>
      </c>
      <c r="E50" s="60">
        <f>SUM(E11:E48)</f>
        <v>1069.5</v>
      </c>
      <c r="F50" s="60">
        <f>SUM(F11:F48)</f>
        <v>1069.5</v>
      </c>
      <c r="G50" s="60">
        <f>SUM(G11:G48)</f>
        <v>1069.5</v>
      </c>
      <c r="H50" s="60">
        <f>SUM(H11:H48)</f>
        <v>1078.5</v>
      </c>
      <c r="I50" s="60">
        <f t="shared" si="4"/>
        <v>1078.5</v>
      </c>
      <c r="J50" s="60">
        <f>SUM(J11:J48)</f>
        <v>1058.1000000000001</v>
      </c>
      <c r="K50" s="60">
        <f>SUM(K11:K48)</f>
        <v>1060.1000000000001</v>
      </c>
      <c r="L50" s="60">
        <f>SUM(L11:L48)</f>
        <v>1074.3000000000002</v>
      </c>
      <c r="M50" s="60">
        <f>SUM(M11:M48)</f>
        <v>1052.3000000000002</v>
      </c>
      <c r="N50" s="60">
        <f t="shared" si="4"/>
        <v>1078</v>
      </c>
      <c r="O50" s="60">
        <f t="shared" si="4"/>
        <v>1072.0999999999999</v>
      </c>
      <c r="P50" s="60">
        <f t="shared" si="4"/>
        <v>1061.3000000000002</v>
      </c>
      <c r="Q50" s="60">
        <f t="shared" si="4"/>
        <v>1034.9000000000001</v>
      </c>
      <c r="R50" s="60">
        <f t="shared" si="4"/>
        <v>1034.9000000000001</v>
      </c>
      <c r="S50" s="60">
        <f t="shared" si="4"/>
        <v>1066.7</v>
      </c>
      <c r="T50" s="60">
        <f t="shared" si="4"/>
        <v>1074.8000000000002</v>
      </c>
      <c r="U50" s="60">
        <f t="shared" si="4"/>
        <v>1074.8000000000002</v>
      </c>
      <c r="V50" s="60">
        <f t="shared" si="4"/>
        <v>1074.8000000000002</v>
      </c>
      <c r="W50" s="60">
        <f t="shared" si="4"/>
        <v>1083.8000000000002</v>
      </c>
      <c r="X50" s="60">
        <f t="shared" si="4"/>
        <v>1095.9000000000001</v>
      </c>
      <c r="Y50" s="60">
        <f>SUM(Y11:Y48)</f>
        <v>1091.6000000000001</v>
      </c>
      <c r="Z50" s="60">
        <f>SUM(Z11:Z48)</f>
        <v>1119.5</v>
      </c>
      <c r="AA50" s="60">
        <f t="shared" si="4"/>
        <v>1143.0999999999999</v>
      </c>
      <c r="AB50" s="60">
        <f t="shared" si="4"/>
        <v>1143.0999999999999</v>
      </c>
      <c r="AC50" s="60">
        <f t="shared" si="4"/>
        <v>1143.0999999999999</v>
      </c>
      <c r="AD50" s="60">
        <f t="shared" si="4"/>
        <v>1143.0999999999999</v>
      </c>
      <c r="AE50" s="60">
        <f>SUM(AE11:AE48)</f>
        <v>1067.7</v>
      </c>
      <c r="AF50" s="60">
        <f>SUM(AF11:AF48)</f>
        <v>1030.2</v>
      </c>
      <c r="AG50" s="61">
        <f>SUM(AG13:AG48)</f>
        <v>922.14</v>
      </c>
      <c r="AH50" s="47">
        <f t="shared" si="2"/>
        <v>1143.0999999999999</v>
      </c>
      <c r="AI50" s="48">
        <f t="shared" si="3"/>
        <v>1030.2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175">
        <v>456</v>
      </c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17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51</v>
      </c>
      <c r="C52" s="64">
        <v>51</v>
      </c>
      <c r="D52" s="64">
        <v>51</v>
      </c>
      <c r="E52" s="64">
        <v>51</v>
      </c>
      <c r="F52" s="64">
        <v>51</v>
      </c>
      <c r="G52" s="64">
        <v>51</v>
      </c>
      <c r="H52" s="64">
        <v>51</v>
      </c>
      <c r="I52" s="64">
        <v>51</v>
      </c>
      <c r="J52" s="64">
        <v>51</v>
      </c>
      <c r="K52" s="64">
        <v>51</v>
      </c>
      <c r="L52" s="64">
        <v>51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50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0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22.5</v>
      </c>
      <c r="AI53" s="48">
        <f t="shared" si="3"/>
        <v>0</v>
      </c>
      <c r="AK53" s="50"/>
    </row>
    <row r="54" spans="1:41" ht="15.75" thickBot="1" x14ac:dyDescent="0.3">
      <c r="A54" s="68" t="s">
        <v>62</v>
      </c>
      <c r="B54" s="60">
        <f t="shared" ref="B54:AG54" si="5">SUM(B51:B53)</f>
        <v>529.5</v>
      </c>
      <c r="C54" s="60">
        <f t="shared" si="5"/>
        <v>529.5</v>
      </c>
      <c r="D54" s="60">
        <f t="shared" si="5"/>
        <v>529.5</v>
      </c>
      <c r="E54" s="60">
        <f t="shared" ref="E54:M54" si="6">SUM(E51:E53)</f>
        <v>529.5</v>
      </c>
      <c r="F54" s="60">
        <f t="shared" si="6"/>
        <v>529.5</v>
      </c>
      <c r="G54" s="60">
        <f t="shared" si="6"/>
        <v>529.5</v>
      </c>
      <c r="H54" s="60">
        <f t="shared" si="6"/>
        <v>529.5</v>
      </c>
      <c r="I54" s="60">
        <f t="shared" si="6"/>
        <v>529.5</v>
      </c>
      <c r="J54" s="60">
        <f t="shared" si="6"/>
        <v>529.5</v>
      </c>
      <c r="K54" s="60">
        <f t="shared" si="6"/>
        <v>529.5</v>
      </c>
      <c r="L54" s="60">
        <f t="shared" si="6"/>
        <v>529.5</v>
      </c>
      <c r="M54" s="60">
        <f t="shared" si="6"/>
        <v>538.5</v>
      </c>
      <c r="N54" s="60">
        <f t="shared" si="5"/>
        <v>538.5</v>
      </c>
      <c r="O54" s="60">
        <f t="shared" si="5"/>
        <v>538.5</v>
      </c>
      <c r="P54" s="60">
        <f t="shared" si="5"/>
        <v>538.5</v>
      </c>
      <c r="Q54" s="60">
        <f t="shared" si="5"/>
        <v>538.5</v>
      </c>
      <c r="R54" s="60">
        <f t="shared" si="5"/>
        <v>538.5</v>
      </c>
      <c r="S54" s="60">
        <f t="shared" si="5"/>
        <v>538.5</v>
      </c>
      <c r="T54" s="60">
        <f t="shared" si="5"/>
        <v>538.5</v>
      </c>
      <c r="U54" s="60">
        <f t="shared" si="5"/>
        <v>538.5</v>
      </c>
      <c r="V54" s="60">
        <f t="shared" si="5"/>
        <v>538.5</v>
      </c>
      <c r="W54" s="60">
        <f t="shared" si="5"/>
        <v>516</v>
      </c>
      <c r="X54" s="60">
        <f t="shared" si="5"/>
        <v>538</v>
      </c>
      <c r="Y54" s="60">
        <f>SUM(Y51:Y53)</f>
        <v>538</v>
      </c>
      <c r="Z54" s="60">
        <f>SUM(Z51:Z53)</f>
        <v>538</v>
      </c>
      <c r="AA54" s="60">
        <f t="shared" si="5"/>
        <v>538</v>
      </c>
      <c r="AB54" s="60">
        <f t="shared" si="5"/>
        <v>538</v>
      </c>
      <c r="AC54" s="60">
        <f t="shared" si="5"/>
        <v>538</v>
      </c>
      <c r="AD54" s="60">
        <f t="shared" si="5"/>
        <v>538</v>
      </c>
      <c r="AE54" s="60">
        <f>SUM(AE51:AE53)</f>
        <v>538</v>
      </c>
      <c r="AF54" s="60">
        <f>SUM(AF51:AF53)</f>
        <v>528</v>
      </c>
      <c r="AG54" s="61">
        <f t="shared" si="5"/>
        <v>538.1</v>
      </c>
      <c r="AH54" s="47">
        <f t="shared" si="2"/>
        <v>538.5</v>
      </c>
      <c r="AI54" s="48">
        <f t="shared" si="3"/>
        <v>516</v>
      </c>
      <c r="AK54" s="50"/>
    </row>
    <row r="55" spans="1:41" x14ac:dyDescent="0.25">
      <c r="A55" s="44" t="s">
        <v>63</v>
      </c>
      <c r="B55" s="45">
        <v>146.1</v>
      </c>
      <c r="C55" s="45">
        <v>146.1</v>
      </c>
      <c r="D55" s="45">
        <v>146.1</v>
      </c>
      <c r="E55" s="45">
        <v>144</v>
      </c>
      <c r="F55" s="45">
        <v>144</v>
      </c>
      <c r="G55" s="45">
        <v>144</v>
      </c>
      <c r="H55" s="45">
        <v>144</v>
      </c>
      <c r="I55" s="45">
        <v>144</v>
      </c>
      <c r="J55" s="45">
        <v>144</v>
      </c>
      <c r="K55" s="45">
        <v>144</v>
      </c>
      <c r="L55" s="45">
        <v>144</v>
      </c>
      <c r="M55" s="45">
        <v>144</v>
      </c>
      <c r="N55" s="45">
        <v>145.4</v>
      </c>
      <c r="O55" s="45">
        <v>143.19999999999999</v>
      </c>
      <c r="P55" s="45">
        <v>145.1</v>
      </c>
      <c r="Q55" s="45">
        <v>142.9</v>
      </c>
      <c r="R55" s="45">
        <v>142.9</v>
      </c>
      <c r="S55" s="45">
        <v>144.69999999999999</v>
      </c>
      <c r="T55" s="45">
        <v>144.69999999999999</v>
      </c>
      <c r="U55" s="45">
        <v>144.69999999999999</v>
      </c>
      <c r="V55" s="45">
        <v>144.69999999999999</v>
      </c>
      <c r="W55" s="45">
        <v>144.69999999999999</v>
      </c>
      <c r="X55" s="45">
        <v>145</v>
      </c>
      <c r="Y55" s="45">
        <v>145</v>
      </c>
      <c r="Z55" s="45">
        <v>145</v>
      </c>
      <c r="AA55" s="45">
        <v>145</v>
      </c>
      <c r="AB55" s="45">
        <v>145</v>
      </c>
      <c r="AC55" s="45">
        <v>145</v>
      </c>
      <c r="AD55" s="45">
        <v>145</v>
      </c>
      <c r="AE55" s="45">
        <v>145</v>
      </c>
      <c r="AF55" s="45">
        <v>145</v>
      </c>
      <c r="AG55" s="51">
        <v>144</v>
      </c>
      <c r="AH55" s="47">
        <f t="shared" si="2"/>
        <v>146.1</v>
      </c>
      <c r="AI55" s="48">
        <f t="shared" si="3"/>
        <v>142.9</v>
      </c>
      <c r="AK55" s="50"/>
    </row>
    <row r="56" spans="1:41" x14ac:dyDescent="0.25">
      <c r="A56" s="53" t="s">
        <v>64</v>
      </c>
      <c r="B56" s="64">
        <v>70</v>
      </c>
      <c r="C56" s="64">
        <v>70</v>
      </c>
      <c r="D56" s="64">
        <v>70</v>
      </c>
      <c r="E56" s="64">
        <v>70</v>
      </c>
      <c r="F56" s="64">
        <v>70</v>
      </c>
      <c r="G56" s="64">
        <v>70</v>
      </c>
      <c r="H56" s="64">
        <v>70</v>
      </c>
      <c r="I56" s="64">
        <v>70</v>
      </c>
      <c r="J56" s="64">
        <v>70</v>
      </c>
      <c r="K56" s="64">
        <v>70</v>
      </c>
      <c r="L56" s="64">
        <v>70</v>
      </c>
      <c r="M56" s="64">
        <v>70</v>
      </c>
      <c r="N56" s="64">
        <v>69.7</v>
      </c>
      <c r="O56" s="64">
        <v>69.900000000000006</v>
      </c>
      <c r="P56" s="64">
        <v>70.3</v>
      </c>
      <c r="Q56" s="64">
        <v>62.8</v>
      </c>
      <c r="R56" s="64">
        <v>62.8</v>
      </c>
      <c r="S56" s="64">
        <v>62.8</v>
      </c>
      <c r="T56" s="64">
        <v>62.8</v>
      </c>
      <c r="U56" s="64">
        <v>62.8</v>
      </c>
      <c r="V56" s="64">
        <v>62.8</v>
      </c>
      <c r="W56" s="64">
        <v>62.8</v>
      </c>
      <c r="X56" s="64">
        <v>69.900000000000006</v>
      </c>
      <c r="Y56" s="64">
        <v>69.900000000000006</v>
      </c>
      <c r="Z56" s="45">
        <v>69.900000000000006</v>
      </c>
      <c r="AA56" s="45">
        <v>69.900000000000006</v>
      </c>
      <c r="AB56" s="45">
        <v>69.900000000000006</v>
      </c>
      <c r="AC56" s="45">
        <v>69.900000000000006</v>
      </c>
      <c r="AD56" s="45">
        <v>69.900000000000006</v>
      </c>
      <c r="AE56" s="45">
        <v>62</v>
      </c>
      <c r="AF56" s="45">
        <v>62</v>
      </c>
      <c r="AG56" s="54">
        <v>70</v>
      </c>
      <c r="AH56" s="47">
        <f t="shared" si="2"/>
        <v>70.3</v>
      </c>
      <c r="AI56" s="48">
        <f t="shared" si="3"/>
        <v>62</v>
      </c>
      <c r="AK56" s="50"/>
    </row>
    <row r="57" spans="1:41" x14ac:dyDescent="0.25">
      <c r="A57" s="53" t="s">
        <v>65</v>
      </c>
      <c r="B57" s="64">
        <v>66</v>
      </c>
      <c r="C57" s="64">
        <v>66</v>
      </c>
      <c r="D57" s="64">
        <v>66</v>
      </c>
      <c r="E57" s="64">
        <v>66</v>
      </c>
      <c r="F57" s="64">
        <v>66</v>
      </c>
      <c r="G57" s="64">
        <v>66</v>
      </c>
      <c r="H57" s="64">
        <v>66</v>
      </c>
      <c r="I57" s="64">
        <v>66</v>
      </c>
      <c r="J57" s="64">
        <v>66</v>
      </c>
      <c r="K57" s="64">
        <v>66</v>
      </c>
      <c r="L57" s="64">
        <v>66</v>
      </c>
      <c r="M57" s="64">
        <v>66</v>
      </c>
      <c r="N57" s="64">
        <v>66</v>
      </c>
      <c r="O57" s="64">
        <v>67.400000000000006</v>
      </c>
      <c r="P57" s="64">
        <v>66.900000000000006</v>
      </c>
      <c r="Q57" s="64">
        <v>65.3</v>
      </c>
      <c r="R57" s="64">
        <v>65.3</v>
      </c>
      <c r="S57" s="64">
        <v>65.3</v>
      </c>
      <c r="T57" s="64">
        <v>65.3</v>
      </c>
      <c r="U57" s="64">
        <v>65.3</v>
      </c>
      <c r="V57" s="64">
        <v>65.3</v>
      </c>
      <c r="W57" s="64">
        <v>65.3</v>
      </c>
      <c r="X57" s="64">
        <v>66.2</v>
      </c>
      <c r="Y57" s="64">
        <v>66.2</v>
      </c>
      <c r="Z57" s="45">
        <v>66.2</v>
      </c>
      <c r="AA57" s="45">
        <v>66.2</v>
      </c>
      <c r="AB57" s="45">
        <v>66.2</v>
      </c>
      <c r="AC57" s="45">
        <v>66.2</v>
      </c>
      <c r="AD57" s="45">
        <v>66.2</v>
      </c>
      <c r="AE57" s="45">
        <v>57</v>
      </c>
      <c r="AF57" s="45">
        <v>66</v>
      </c>
      <c r="AG57" s="54">
        <v>69</v>
      </c>
      <c r="AH57" s="47">
        <f t="shared" si="2"/>
        <v>67.400000000000006</v>
      </c>
      <c r="AI57" s="48">
        <f t="shared" si="3"/>
        <v>57</v>
      </c>
      <c r="AK57" s="50"/>
    </row>
    <row r="58" spans="1:41" x14ac:dyDescent="0.25">
      <c r="A58" s="53" t="s">
        <v>66</v>
      </c>
      <c r="B58" s="64">
        <v>61.4</v>
      </c>
      <c r="C58" s="64">
        <v>61.4</v>
      </c>
      <c r="D58" s="64">
        <v>61.4</v>
      </c>
      <c r="E58" s="64">
        <v>0</v>
      </c>
      <c r="F58" s="64">
        <v>0</v>
      </c>
      <c r="G58" s="64">
        <v>0</v>
      </c>
      <c r="H58" s="64">
        <v>0</v>
      </c>
      <c r="I58" s="64">
        <v>0</v>
      </c>
      <c r="J58" s="64">
        <v>61.7</v>
      </c>
      <c r="K58" s="64">
        <v>61.7</v>
      </c>
      <c r="L58" s="64">
        <v>61.7</v>
      </c>
      <c r="M58" s="64">
        <v>61.7</v>
      </c>
      <c r="N58" s="64">
        <v>60.4</v>
      </c>
      <c r="O58" s="64">
        <v>60.2</v>
      </c>
      <c r="P58" s="64">
        <v>60</v>
      </c>
      <c r="Q58" s="64">
        <v>60.2</v>
      </c>
      <c r="R58" s="64">
        <v>60.2</v>
      </c>
      <c r="S58" s="64">
        <v>60.2</v>
      </c>
      <c r="T58" s="64">
        <v>60.2</v>
      </c>
      <c r="U58" s="64">
        <v>60.2</v>
      </c>
      <c r="V58" s="64">
        <v>60.2</v>
      </c>
      <c r="W58" s="64">
        <v>60.2</v>
      </c>
      <c r="X58" s="64">
        <v>60.2</v>
      </c>
      <c r="Y58" s="64">
        <v>60.2</v>
      </c>
      <c r="Z58" s="45">
        <v>60.2</v>
      </c>
      <c r="AA58" s="45">
        <v>60.2</v>
      </c>
      <c r="AB58" s="45">
        <v>60.2</v>
      </c>
      <c r="AC58" s="45">
        <v>60.2</v>
      </c>
      <c r="AD58" s="45">
        <v>60.2</v>
      </c>
      <c r="AE58" s="45">
        <v>60.2</v>
      </c>
      <c r="AF58" s="45">
        <v>51</v>
      </c>
      <c r="AG58" s="54">
        <v>60</v>
      </c>
      <c r="AH58" s="47">
        <f t="shared" si="2"/>
        <v>61.7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>
        <v>29</v>
      </c>
      <c r="G59" s="64">
        <v>29</v>
      </c>
      <c r="H59" s="64">
        <v>29</v>
      </c>
      <c r="I59" s="64">
        <v>29</v>
      </c>
      <c r="J59" s="64">
        <v>29</v>
      </c>
      <c r="K59" s="64">
        <v>29</v>
      </c>
      <c r="L59" s="64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64">
        <v>29</v>
      </c>
      <c r="Z59" s="45">
        <v>29</v>
      </c>
      <c r="AA59" s="45">
        <v>29</v>
      </c>
      <c r="AB59" s="45">
        <v>29</v>
      </c>
      <c r="AC59" s="45">
        <v>29</v>
      </c>
      <c r="AD59" s="45">
        <v>29</v>
      </c>
      <c r="AE59" s="45">
        <v>29</v>
      </c>
      <c r="AF59" s="45">
        <v>29</v>
      </c>
      <c r="AG59" s="54">
        <v>30</v>
      </c>
      <c r="AH59" s="47">
        <f t="shared" si="2"/>
        <v>29</v>
      </c>
      <c r="AI59" s="48">
        <f t="shared" si="3"/>
        <v>29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12</v>
      </c>
      <c r="O60" s="64">
        <v>11.3</v>
      </c>
      <c r="P60" s="64">
        <v>18.899999999999999</v>
      </c>
      <c r="Q60" s="64">
        <v>14.7</v>
      </c>
      <c r="R60" s="64">
        <v>14.7</v>
      </c>
      <c r="S60" s="64">
        <v>8.6999999999999993</v>
      </c>
      <c r="T60" s="64">
        <v>8.6999999999999993</v>
      </c>
      <c r="U60" s="64">
        <v>8.6999999999999993</v>
      </c>
      <c r="V60" s="64">
        <v>1</v>
      </c>
      <c r="W60" s="64">
        <v>1</v>
      </c>
      <c r="X60" s="64">
        <v>0</v>
      </c>
      <c r="Y60" s="64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18.899999999999999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16</v>
      </c>
      <c r="AK61" s="50"/>
    </row>
    <row r="62" spans="1:41" x14ac:dyDescent="0.25">
      <c r="A62" s="53" t="s">
        <v>70</v>
      </c>
      <c r="B62" s="64">
        <v>5.2</v>
      </c>
      <c r="C62" s="64">
        <v>5.2</v>
      </c>
      <c r="D62" s="64">
        <v>5.2</v>
      </c>
      <c r="E62" s="64">
        <v>5.2</v>
      </c>
      <c r="F62" s="64">
        <v>5.2</v>
      </c>
      <c r="G62" s="64">
        <v>5.2</v>
      </c>
      <c r="H62" s="64">
        <v>5.2</v>
      </c>
      <c r="I62" s="64">
        <v>5.2</v>
      </c>
      <c r="J62" s="64">
        <v>5.2</v>
      </c>
      <c r="K62" s="64">
        <v>5.2</v>
      </c>
      <c r="L62" s="64">
        <v>5.2</v>
      </c>
      <c r="M62" s="64">
        <v>5.2</v>
      </c>
      <c r="N62" s="64">
        <v>5.2</v>
      </c>
      <c r="O62" s="64">
        <v>5.2</v>
      </c>
      <c r="P62" s="64">
        <v>0</v>
      </c>
      <c r="Q62" s="64">
        <v>0</v>
      </c>
      <c r="R62" s="64">
        <v>0</v>
      </c>
      <c r="S62" s="64">
        <v>2.7</v>
      </c>
      <c r="T62" s="64">
        <v>2.7</v>
      </c>
      <c r="U62" s="64">
        <v>2.7</v>
      </c>
      <c r="V62" s="64">
        <v>2.7</v>
      </c>
      <c r="W62" s="64">
        <v>2.7</v>
      </c>
      <c r="X62" s="64">
        <v>2.7</v>
      </c>
      <c r="Y62" s="64">
        <v>2.7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5.2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10.8</v>
      </c>
      <c r="C63" s="64">
        <v>10.8</v>
      </c>
      <c r="D63" s="64">
        <v>10.8</v>
      </c>
      <c r="E63" s="64">
        <v>10.8</v>
      </c>
      <c r="F63" s="64">
        <v>10.8</v>
      </c>
      <c r="G63" s="64">
        <v>10.8</v>
      </c>
      <c r="H63" s="64">
        <v>10.8</v>
      </c>
      <c r="I63" s="64">
        <v>10.8</v>
      </c>
      <c r="J63" s="64">
        <v>9.3000000000000007</v>
      </c>
      <c r="K63" s="64">
        <v>9.3000000000000007</v>
      </c>
      <c r="L63" s="64">
        <v>9.3000000000000007</v>
      </c>
      <c r="M63" s="64">
        <v>9.3000000000000007</v>
      </c>
      <c r="N63" s="64">
        <v>10.8</v>
      </c>
      <c r="O63" s="64">
        <v>10.8</v>
      </c>
      <c r="P63" s="64">
        <v>8.6999999999999993</v>
      </c>
      <c r="Q63" s="64">
        <v>8.6999999999999993</v>
      </c>
      <c r="R63" s="64">
        <v>8.6999999999999993</v>
      </c>
      <c r="S63" s="64">
        <v>10.7</v>
      </c>
      <c r="T63" s="64">
        <v>10.7</v>
      </c>
      <c r="U63" s="64">
        <v>10.7</v>
      </c>
      <c r="V63" s="64">
        <v>10.7</v>
      </c>
      <c r="W63" s="64">
        <v>10.7</v>
      </c>
      <c r="X63" s="64">
        <v>10.7</v>
      </c>
      <c r="Y63" s="64">
        <v>10.7</v>
      </c>
      <c r="Z63" s="64">
        <v>10.3</v>
      </c>
      <c r="AA63" s="64">
        <v>10.3</v>
      </c>
      <c r="AB63" s="64">
        <v>10.3</v>
      </c>
      <c r="AC63" s="64">
        <v>10.3</v>
      </c>
      <c r="AD63" s="64">
        <v>10.3</v>
      </c>
      <c r="AE63" s="64">
        <v>10.3</v>
      </c>
      <c r="AF63" s="64">
        <v>10.3</v>
      </c>
      <c r="AG63" s="54">
        <v>14.1</v>
      </c>
      <c r="AH63" s="47">
        <f t="shared" si="2"/>
        <v>10.8</v>
      </c>
      <c r="AI63" s="48">
        <f t="shared" si="3"/>
        <v>8.6999999999999993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14.2</v>
      </c>
      <c r="C64" s="64">
        <v>14.2</v>
      </c>
      <c r="D64" s="64">
        <v>14.2</v>
      </c>
      <c r="E64" s="64">
        <v>14.2</v>
      </c>
      <c r="F64" s="64">
        <v>14.2</v>
      </c>
      <c r="G64" s="64">
        <v>14.2</v>
      </c>
      <c r="H64" s="64">
        <v>14.2</v>
      </c>
      <c r="I64" s="64">
        <v>14.2</v>
      </c>
      <c r="J64" s="64">
        <v>14.2</v>
      </c>
      <c r="K64" s="64">
        <v>14.2</v>
      </c>
      <c r="L64" s="64">
        <v>14.2</v>
      </c>
      <c r="M64" s="64">
        <v>14.2</v>
      </c>
      <c r="N64" s="64">
        <v>14.2</v>
      </c>
      <c r="O64" s="64">
        <v>14.2</v>
      </c>
      <c r="P64" s="64">
        <v>14</v>
      </c>
      <c r="Q64" s="64">
        <v>14</v>
      </c>
      <c r="R64" s="64">
        <v>14</v>
      </c>
      <c r="S64" s="64">
        <v>14</v>
      </c>
      <c r="T64" s="64">
        <v>14</v>
      </c>
      <c r="U64" s="64">
        <v>14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14</v>
      </c>
      <c r="AE64" s="64">
        <v>14</v>
      </c>
      <c r="AF64" s="64">
        <v>14</v>
      </c>
      <c r="AG64" s="54">
        <v>14</v>
      </c>
      <c r="AH64" s="47">
        <f t="shared" si="2"/>
        <v>14.2</v>
      </c>
      <c r="AI64" s="48">
        <f t="shared" si="3"/>
        <v>14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7">SUM(B55:B67)</f>
        <v>437.64</v>
      </c>
      <c r="C68" s="60">
        <f t="shared" si="7"/>
        <v>437.64</v>
      </c>
      <c r="D68" s="60">
        <f t="shared" si="7"/>
        <v>437.64</v>
      </c>
      <c r="E68" s="60">
        <f t="shared" ref="E68:M68" si="8">SUM(E55:E67)</f>
        <v>374.14</v>
      </c>
      <c r="F68" s="60">
        <f t="shared" si="8"/>
        <v>374.14</v>
      </c>
      <c r="G68" s="60">
        <f t="shared" si="8"/>
        <v>374.14</v>
      </c>
      <c r="H68" s="60">
        <f t="shared" si="8"/>
        <v>374.14</v>
      </c>
      <c r="I68" s="60">
        <f t="shared" si="8"/>
        <v>374.14</v>
      </c>
      <c r="J68" s="60">
        <f t="shared" si="8"/>
        <v>434.34</v>
      </c>
      <c r="K68" s="60">
        <f t="shared" si="8"/>
        <v>434.34</v>
      </c>
      <c r="L68" s="60">
        <f t="shared" si="8"/>
        <v>434.34</v>
      </c>
      <c r="M68" s="60">
        <f t="shared" si="8"/>
        <v>434.34</v>
      </c>
      <c r="N68" s="60">
        <f t="shared" si="7"/>
        <v>447.64</v>
      </c>
      <c r="O68" s="60">
        <f t="shared" si="7"/>
        <v>446.14</v>
      </c>
      <c r="P68" s="60">
        <f t="shared" si="7"/>
        <v>447.83999999999992</v>
      </c>
      <c r="Q68" s="60">
        <f t="shared" si="7"/>
        <v>432.53999999999996</v>
      </c>
      <c r="R68" s="60">
        <f t="shared" si="7"/>
        <v>432.53999999999996</v>
      </c>
      <c r="S68" s="60">
        <f t="shared" si="7"/>
        <v>433.03999999999996</v>
      </c>
      <c r="T68" s="60">
        <f t="shared" si="7"/>
        <v>433.03999999999996</v>
      </c>
      <c r="U68" s="60">
        <f t="shared" si="7"/>
        <v>433.03999999999996</v>
      </c>
      <c r="V68" s="60">
        <f t="shared" si="7"/>
        <v>425.34</v>
      </c>
      <c r="W68" s="60">
        <f t="shared" si="7"/>
        <v>425.34</v>
      </c>
      <c r="X68" s="60">
        <f t="shared" si="7"/>
        <v>432.64</v>
      </c>
      <c r="Y68" s="60">
        <f>SUM(Y55:Y67)</f>
        <v>432.64</v>
      </c>
      <c r="Z68" s="60">
        <f>SUM(Z55:Z67)</f>
        <v>429.54</v>
      </c>
      <c r="AA68" s="60">
        <f t="shared" si="7"/>
        <v>429.54</v>
      </c>
      <c r="AB68" s="60">
        <f t="shared" si="7"/>
        <v>429.54</v>
      </c>
      <c r="AC68" s="60">
        <f>SUM(AC55:AC67)</f>
        <v>429.54</v>
      </c>
      <c r="AD68" s="60">
        <f>SUM(AD55:AD67)</f>
        <v>429.54</v>
      </c>
      <c r="AE68" s="60">
        <f>SUM(AE55:AE67)</f>
        <v>412.44</v>
      </c>
      <c r="AF68" s="60">
        <f>SUM(AF55:AF67)</f>
        <v>412.24</v>
      </c>
      <c r="AG68" s="61">
        <f t="shared" si="7"/>
        <v>489.91</v>
      </c>
      <c r="AH68" s="47">
        <f t="shared" si="2"/>
        <v>447.83999999999992</v>
      </c>
      <c r="AI68" s="48">
        <f t="shared" si="3"/>
        <v>374.14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>
        <v>20</v>
      </c>
      <c r="P69" s="45">
        <v>28.1</v>
      </c>
      <c r="Q69" s="45">
        <v>20</v>
      </c>
      <c r="R69" s="45">
        <v>20</v>
      </c>
      <c r="S69" s="45">
        <v>20</v>
      </c>
      <c r="T69" s="45">
        <v>20</v>
      </c>
      <c r="U69" s="45">
        <v>10.6</v>
      </c>
      <c r="V69" s="45">
        <v>10.4</v>
      </c>
      <c r="W69" s="45">
        <v>0</v>
      </c>
      <c r="X69" s="45">
        <v>0</v>
      </c>
      <c r="Y69" s="45">
        <v>55.3</v>
      </c>
      <c r="Z69" s="45">
        <v>55.6</v>
      </c>
      <c r="AA69" s="45">
        <v>30</v>
      </c>
      <c r="AB69" s="45">
        <v>14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55.6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>
        <v>10</v>
      </c>
      <c r="P70" s="64">
        <v>14.7</v>
      </c>
      <c r="Q70" s="64">
        <v>9.5</v>
      </c>
      <c r="R70" s="64">
        <v>9.5</v>
      </c>
      <c r="S70" s="64">
        <v>9.5</v>
      </c>
      <c r="T70" s="64">
        <v>8.3000000000000007</v>
      </c>
      <c r="U70" s="64">
        <v>5.4</v>
      </c>
      <c r="V70" s="64">
        <v>4.3</v>
      </c>
      <c r="W70" s="64">
        <v>0</v>
      </c>
      <c r="X70" s="64">
        <v>0</v>
      </c>
      <c r="Y70" s="64">
        <v>15.4</v>
      </c>
      <c r="Z70" s="64">
        <v>26.5</v>
      </c>
      <c r="AA70" s="64">
        <v>14</v>
      </c>
      <c r="AB70" s="64">
        <v>7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26.5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>
        <v>3.7</v>
      </c>
      <c r="P71" s="66">
        <v>5.4</v>
      </c>
      <c r="Q71" s="66">
        <v>3.5</v>
      </c>
      <c r="R71" s="66">
        <v>3.5</v>
      </c>
      <c r="S71" s="66">
        <v>3.5</v>
      </c>
      <c r="T71" s="66">
        <v>3</v>
      </c>
      <c r="U71" s="66">
        <v>2</v>
      </c>
      <c r="V71" s="66">
        <v>1.6</v>
      </c>
      <c r="W71" s="66">
        <v>0</v>
      </c>
      <c r="X71" s="66">
        <v>0</v>
      </c>
      <c r="Y71" s="66">
        <v>5.6</v>
      </c>
      <c r="Z71" s="66">
        <v>10.3</v>
      </c>
      <c r="AA71" s="66">
        <v>5.2</v>
      </c>
      <c r="AB71" s="66">
        <v>3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10.3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v>0</v>
      </c>
      <c r="N72" s="60">
        <f t="shared" ref="N72:AB72" si="9">N69+N70+N71</f>
        <v>0</v>
      </c>
      <c r="O72" s="60">
        <f t="shared" si="9"/>
        <v>33.700000000000003</v>
      </c>
      <c r="P72" s="60">
        <f t="shared" si="9"/>
        <v>48.199999999999996</v>
      </c>
      <c r="Q72" s="60">
        <f t="shared" si="9"/>
        <v>33</v>
      </c>
      <c r="R72" s="60">
        <f t="shared" si="9"/>
        <v>33</v>
      </c>
      <c r="S72" s="60">
        <f t="shared" si="9"/>
        <v>33</v>
      </c>
      <c r="T72" s="60">
        <f t="shared" si="9"/>
        <v>31.3</v>
      </c>
      <c r="U72" s="60">
        <f t="shared" si="9"/>
        <v>18</v>
      </c>
      <c r="V72" s="60">
        <f t="shared" si="9"/>
        <v>16.3</v>
      </c>
      <c r="W72" s="60">
        <f t="shared" si="9"/>
        <v>0</v>
      </c>
      <c r="X72" s="60">
        <f t="shared" si="9"/>
        <v>0</v>
      </c>
      <c r="Y72" s="60">
        <f>Y69+Y70+Y71</f>
        <v>76.3</v>
      </c>
      <c r="Z72" s="60">
        <f>Z69+Z70+Z71</f>
        <v>92.399999999999991</v>
      </c>
      <c r="AA72" s="60">
        <f t="shared" si="9"/>
        <v>49.2</v>
      </c>
      <c r="AB72" s="60">
        <f t="shared" si="9"/>
        <v>24</v>
      </c>
      <c r="AC72" s="60">
        <f>AC69+AC70+AC71</f>
        <v>0</v>
      </c>
      <c r="AD72" s="60">
        <f>AD69+AD70+AD71</f>
        <v>0</v>
      </c>
      <c r="AE72" s="60">
        <f>AE69+AE70+AE71</f>
        <v>0</v>
      </c>
      <c r="AF72" s="60">
        <f>AF69+AF70+AF71</f>
        <v>0</v>
      </c>
      <c r="AG72" s="61">
        <f>SUM(AG69:AG71)</f>
        <v>106</v>
      </c>
      <c r="AH72" s="47">
        <f t="shared" si="2"/>
        <v>92.399999999999991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45.3</v>
      </c>
      <c r="C73" s="45">
        <v>40</v>
      </c>
      <c r="D73" s="45">
        <v>33</v>
      </c>
      <c r="E73" s="45">
        <v>25.3</v>
      </c>
      <c r="F73" s="45">
        <v>26</v>
      </c>
      <c r="G73" s="45">
        <v>21.1</v>
      </c>
      <c r="H73" s="45">
        <v>25.3</v>
      </c>
      <c r="I73" s="45">
        <v>25.3</v>
      </c>
      <c r="J73" s="45">
        <v>19.8</v>
      </c>
      <c r="K73" s="45">
        <v>20.2</v>
      </c>
      <c r="L73" s="45">
        <v>-11.2</v>
      </c>
      <c r="M73" s="45">
        <v>-11.2</v>
      </c>
      <c r="N73" s="45">
        <v>-13.7</v>
      </c>
      <c r="O73" s="45">
        <v>-1.5</v>
      </c>
      <c r="P73" s="45">
        <v>2.9</v>
      </c>
      <c r="Q73" s="45">
        <v>3</v>
      </c>
      <c r="R73" s="45">
        <v>3</v>
      </c>
      <c r="S73" s="45">
        <v>3</v>
      </c>
      <c r="T73" s="45">
        <v>6.5</v>
      </c>
      <c r="U73" s="45">
        <v>5.4</v>
      </c>
      <c r="V73" s="45">
        <v>0.8</v>
      </c>
      <c r="W73" s="45">
        <v>-2.5</v>
      </c>
      <c r="X73" s="45">
        <v>-1.3</v>
      </c>
      <c r="Y73" s="45">
        <v>13</v>
      </c>
      <c r="Z73" s="45">
        <v>23.3</v>
      </c>
      <c r="AA73" s="45">
        <v>17.5</v>
      </c>
      <c r="AB73" s="45">
        <v>20</v>
      </c>
      <c r="AC73" s="45">
        <v>3</v>
      </c>
      <c r="AD73" s="45">
        <v>0</v>
      </c>
      <c r="AE73" s="45">
        <v>0</v>
      </c>
      <c r="AF73" s="45">
        <v>-23</v>
      </c>
      <c r="AG73" s="51"/>
      <c r="AH73" s="47">
        <f t="shared" si="2"/>
        <v>45.3</v>
      </c>
      <c r="AI73" s="48">
        <f t="shared" si="3"/>
        <v>-23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-406</v>
      </c>
      <c r="C75" s="64">
        <v>-425</v>
      </c>
      <c r="D75" s="64">
        <v>-440</v>
      </c>
      <c r="E75" s="64">
        <v>-438</v>
      </c>
      <c r="F75" s="64">
        <v>-468.2</v>
      </c>
      <c r="G75" s="64">
        <v>-481</v>
      </c>
      <c r="H75" s="64">
        <v>-438</v>
      </c>
      <c r="I75" s="64">
        <v>-438</v>
      </c>
      <c r="J75" s="64">
        <v>-500</v>
      </c>
      <c r="K75" s="64">
        <v>502</v>
      </c>
      <c r="L75" s="64">
        <v>-463</v>
      </c>
      <c r="M75" s="64">
        <v>-463</v>
      </c>
      <c r="N75" s="64">
        <v>-506.3</v>
      </c>
      <c r="O75" s="64">
        <v>-512.6</v>
      </c>
      <c r="P75" s="64">
        <v>-524.6</v>
      </c>
      <c r="Q75" s="64">
        <v>-458</v>
      </c>
      <c r="R75" s="64">
        <v>-458</v>
      </c>
      <c r="S75" s="64">
        <v>-465</v>
      </c>
      <c r="T75" s="64">
        <v>-474</v>
      </c>
      <c r="U75" s="64">
        <v>-499</v>
      </c>
      <c r="V75" s="64">
        <v>-509</v>
      </c>
      <c r="W75" s="64">
        <v>-498</v>
      </c>
      <c r="X75" s="64">
        <v>-450</v>
      </c>
      <c r="Y75" s="64">
        <v>-404</v>
      </c>
      <c r="Z75" s="64">
        <v>-410</v>
      </c>
      <c r="AA75" s="64">
        <v>-440</v>
      </c>
      <c r="AB75" s="64">
        <v>-430</v>
      </c>
      <c r="AC75" s="64">
        <v>-416</v>
      </c>
      <c r="AD75" s="64">
        <v>-440</v>
      </c>
      <c r="AE75" s="64">
        <v>-450</v>
      </c>
      <c r="AF75" s="64">
        <v>-421</v>
      </c>
      <c r="AG75" s="74"/>
      <c r="AH75" s="47">
        <f t="shared" si="2"/>
        <v>502</v>
      </c>
      <c r="AI75" s="48">
        <f t="shared" si="3"/>
        <v>-524.6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0">MAX(B77:AF77)</f>
        <v>0</v>
      </c>
      <c r="AI77" s="48">
        <f t="shared" ref="AI77:AI120" si="11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0"/>
        <v>0</v>
      </c>
      <c r="AI78" s="48">
        <f t="shared" si="11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0"/>
        <v>0</v>
      </c>
      <c r="AI79" s="48">
        <f t="shared" si="11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0"/>
        <v>0</v>
      </c>
      <c r="AI80" s="48">
        <f t="shared" si="11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0"/>
        <v>0</v>
      </c>
      <c r="AI81" s="48">
        <f t="shared" si="11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0"/>
        <v>0</v>
      </c>
      <c r="AI82" s="48">
        <f t="shared" si="11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0"/>
        <v>0</v>
      </c>
      <c r="AI83" s="48">
        <f t="shared" si="11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B84" si="12">SUMIF(B73:B83,"&gt;0")</f>
        <v>45.3</v>
      </c>
      <c r="C84" s="60">
        <f t="shared" si="12"/>
        <v>40</v>
      </c>
      <c r="D84" s="60">
        <f t="shared" si="12"/>
        <v>33</v>
      </c>
      <c r="E84" s="60">
        <f t="shared" ref="E84:M84" si="13">SUMIF(E73:E83,"&gt;0")</f>
        <v>25.3</v>
      </c>
      <c r="F84" s="60">
        <f t="shared" si="13"/>
        <v>26</v>
      </c>
      <c r="G84" s="60">
        <f t="shared" si="13"/>
        <v>21.1</v>
      </c>
      <c r="H84" s="60">
        <f t="shared" si="13"/>
        <v>25.3</v>
      </c>
      <c r="I84" s="60">
        <f t="shared" si="13"/>
        <v>25.3</v>
      </c>
      <c r="J84" s="60">
        <f t="shared" si="13"/>
        <v>19.8</v>
      </c>
      <c r="K84" s="60">
        <f t="shared" si="13"/>
        <v>522.20000000000005</v>
      </c>
      <c r="L84" s="60">
        <f t="shared" si="13"/>
        <v>0</v>
      </c>
      <c r="M84" s="60">
        <f t="shared" si="13"/>
        <v>0</v>
      </c>
      <c r="N84" s="60">
        <f t="shared" si="12"/>
        <v>0</v>
      </c>
      <c r="O84" s="60">
        <f t="shared" si="12"/>
        <v>0</v>
      </c>
      <c r="P84" s="60">
        <f t="shared" si="12"/>
        <v>2.9</v>
      </c>
      <c r="Q84" s="60">
        <f t="shared" si="12"/>
        <v>3</v>
      </c>
      <c r="R84" s="60">
        <f t="shared" si="12"/>
        <v>3</v>
      </c>
      <c r="S84" s="60">
        <f t="shared" si="12"/>
        <v>3</v>
      </c>
      <c r="T84" s="60">
        <f t="shared" si="12"/>
        <v>6.5</v>
      </c>
      <c r="U84" s="60">
        <f t="shared" si="12"/>
        <v>5.4</v>
      </c>
      <c r="V84" s="60">
        <f t="shared" si="12"/>
        <v>0.8</v>
      </c>
      <c r="W84" s="60">
        <f t="shared" si="12"/>
        <v>0</v>
      </c>
      <c r="X84" s="60">
        <f t="shared" si="12"/>
        <v>0</v>
      </c>
      <c r="Y84" s="60">
        <f>SUMIF(Y73:Y83,"&gt;0")</f>
        <v>13</v>
      </c>
      <c r="Z84" s="60">
        <f>SUMIF(Z73:Z83,"&gt;0")</f>
        <v>23.3</v>
      </c>
      <c r="AA84" s="60">
        <f t="shared" si="12"/>
        <v>17.5</v>
      </c>
      <c r="AB84" s="60">
        <f t="shared" si="12"/>
        <v>20</v>
      </c>
      <c r="AC84" s="60">
        <f>SUMIF(AC73:AC83,"&gt;0")</f>
        <v>3</v>
      </c>
      <c r="AD84" s="60">
        <f>SUMIF(AD73:AD83,"&gt;0")</f>
        <v>0</v>
      </c>
      <c r="AE84" s="60">
        <f>SUMIF(AE73:AE83,"&gt;0")</f>
        <v>0</v>
      </c>
      <c r="AF84" s="60">
        <f>SUMIF(AF73:AF83,"&gt;0")</f>
        <v>0</v>
      </c>
      <c r="AG84" s="87">
        <f>SUM(AG73:AG83)</f>
        <v>0</v>
      </c>
      <c r="AH84" s="47">
        <f t="shared" si="10"/>
        <v>522.20000000000005</v>
      </c>
      <c r="AI84" s="48">
        <f t="shared" si="11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0"/>
        <v>0</v>
      </c>
      <c r="AI85" s="48">
        <f t="shared" si="11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0"/>
        <v>0</v>
      </c>
      <c r="AI86" s="48">
        <f t="shared" si="11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0"/>
        <v>0</v>
      </c>
      <c r="AI87" s="48">
        <f t="shared" si="11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>
        <v>0</v>
      </c>
      <c r="Z88" s="60">
        <v>0</v>
      </c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0"/>
        <v>0</v>
      </c>
      <c r="AI88" s="48">
        <f t="shared" si="11"/>
        <v>0</v>
      </c>
    </row>
    <row r="89" spans="1:40" ht="15.75" thickBot="1" x14ac:dyDescent="0.3">
      <c r="A89" s="73" t="s">
        <v>100</v>
      </c>
      <c r="B89" s="94">
        <f t="shared" ref="B89:AG89" si="14">B50+B54+B72+B68+B84+B88</f>
        <v>2070.84</v>
      </c>
      <c r="C89" s="94">
        <f t="shared" si="14"/>
        <v>2063.04</v>
      </c>
      <c r="D89" s="94">
        <f t="shared" si="14"/>
        <v>2076.54</v>
      </c>
      <c r="E89" s="94">
        <f t="shared" ref="E89:M89" si="15">E50+E54+E72+E68+E84+E88</f>
        <v>1998.4399999999998</v>
      </c>
      <c r="F89" s="94">
        <f t="shared" si="15"/>
        <v>1999.1399999999999</v>
      </c>
      <c r="G89" s="94">
        <f t="shared" si="15"/>
        <v>1994.2399999999998</v>
      </c>
      <c r="H89" s="94">
        <f t="shared" si="15"/>
        <v>2007.4399999999998</v>
      </c>
      <c r="I89" s="94">
        <f t="shared" si="15"/>
        <v>2007.4399999999998</v>
      </c>
      <c r="J89" s="94">
        <f t="shared" si="15"/>
        <v>2041.74</v>
      </c>
      <c r="K89" s="94">
        <f t="shared" si="15"/>
        <v>2546.1400000000003</v>
      </c>
      <c r="L89" s="94">
        <f t="shared" si="15"/>
        <v>2038.14</v>
      </c>
      <c r="M89" s="94">
        <f t="shared" si="15"/>
        <v>2025.14</v>
      </c>
      <c r="N89" s="94">
        <f t="shared" si="14"/>
        <v>2064.14</v>
      </c>
      <c r="O89" s="94">
        <f t="shared" si="14"/>
        <v>2090.44</v>
      </c>
      <c r="P89" s="94">
        <f t="shared" si="14"/>
        <v>2098.7400000000002</v>
      </c>
      <c r="Q89" s="94">
        <f t="shared" si="14"/>
        <v>2041.94</v>
      </c>
      <c r="R89" s="94">
        <f t="shared" si="14"/>
        <v>2041.94</v>
      </c>
      <c r="S89" s="94">
        <f t="shared" si="14"/>
        <v>2074.2399999999998</v>
      </c>
      <c r="T89" s="94">
        <f t="shared" si="14"/>
        <v>2084.1400000000003</v>
      </c>
      <c r="U89" s="94">
        <f t="shared" si="14"/>
        <v>2069.7400000000002</v>
      </c>
      <c r="V89" s="94">
        <f t="shared" si="14"/>
        <v>2055.7400000000002</v>
      </c>
      <c r="W89" s="94">
        <f t="shared" si="14"/>
        <v>2025.14</v>
      </c>
      <c r="X89" s="94">
        <f t="shared" si="14"/>
        <v>2066.54</v>
      </c>
      <c r="Y89" s="94">
        <f>Y50+Y54+Y72+Y68+Y84+Y88</f>
        <v>2151.54</v>
      </c>
      <c r="Z89" s="94">
        <f>Z50+Z54+Z72+Z68+Z84+Z88</f>
        <v>2202.7400000000002</v>
      </c>
      <c r="AA89" s="94">
        <f t="shared" si="14"/>
        <v>2177.34</v>
      </c>
      <c r="AB89" s="94">
        <f t="shared" si="14"/>
        <v>2154.64</v>
      </c>
      <c r="AC89" s="94">
        <f>AC50+AC54+AC72+AC68+AC84+AC88</f>
        <v>2113.64</v>
      </c>
      <c r="AD89" s="94">
        <f>AD50+AD54+AD72+AD68+AD84+AD88</f>
        <v>2110.64</v>
      </c>
      <c r="AE89" s="94">
        <f>AE50+AE54+AE72+AE68+AE84+AE88</f>
        <v>2018.14</v>
      </c>
      <c r="AF89" s="94">
        <f>AF50+AF54+AF72+AF68+AF84+AF88</f>
        <v>1970.44</v>
      </c>
      <c r="AG89" s="61">
        <f t="shared" si="14"/>
        <v>2111.5500000000002</v>
      </c>
      <c r="AH89" s="47">
        <f t="shared" si="10"/>
        <v>2546.1400000000003</v>
      </c>
      <c r="AI89" s="48">
        <f t="shared" si="11"/>
        <v>1970.44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0"/>
        <v>0</v>
      </c>
      <c r="AI90" s="48">
        <f t="shared" si="11"/>
        <v>0</v>
      </c>
    </row>
    <row r="91" spans="1:40" ht="15.75" thickBot="1" x14ac:dyDescent="0.3">
      <c r="A91" s="73" t="s">
        <v>102</v>
      </c>
      <c r="B91" s="94">
        <f t="shared" ref="B91:AB91" si="16">B89+B90</f>
        <v>2070.84</v>
      </c>
      <c r="C91" s="94">
        <f t="shared" si="16"/>
        <v>2063.04</v>
      </c>
      <c r="D91" s="94">
        <f t="shared" si="16"/>
        <v>2076.54</v>
      </c>
      <c r="E91" s="94">
        <f t="shared" ref="E91:M91" si="17">E89+E90</f>
        <v>1998.4399999999998</v>
      </c>
      <c r="F91" s="94">
        <f t="shared" si="17"/>
        <v>1999.1399999999999</v>
      </c>
      <c r="G91" s="94">
        <f t="shared" si="17"/>
        <v>1994.2399999999998</v>
      </c>
      <c r="H91" s="94">
        <f t="shared" si="17"/>
        <v>2007.4399999999998</v>
      </c>
      <c r="I91" s="94">
        <f t="shared" si="17"/>
        <v>2007.4399999999998</v>
      </c>
      <c r="J91" s="94">
        <f t="shared" si="17"/>
        <v>2041.74</v>
      </c>
      <c r="K91" s="94">
        <f t="shared" si="17"/>
        <v>2546.1400000000003</v>
      </c>
      <c r="L91" s="94">
        <f t="shared" si="17"/>
        <v>2038.14</v>
      </c>
      <c r="M91" s="94">
        <f t="shared" si="17"/>
        <v>2025.14</v>
      </c>
      <c r="N91" s="94">
        <f t="shared" si="16"/>
        <v>2064.14</v>
      </c>
      <c r="O91" s="94">
        <f t="shared" si="16"/>
        <v>2090.44</v>
      </c>
      <c r="P91" s="94">
        <f t="shared" si="16"/>
        <v>2098.7400000000002</v>
      </c>
      <c r="Q91" s="94">
        <f t="shared" si="16"/>
        <v>2041.94</v>
      </c>
      <c r="R91" s="94">
        <f t="shared" si="16"/>
        <v>2041.94</v>
      </c>
      <c r="S91" s="94">
        <f t="shared" si="16"/>
        <v>2074.2399999999998</v>
      </c>
      <c r="T91" s="94">
        <f t="shared" si="16"/>
        <v>2084.1400000000003</v>
      </c>
      <c r="U91" s="94">
        <f t="shared" si="16"/>
        <v>2069.7400000000002</v>
      </c>
      <c r="V91" s="94">
        <f t="shared" si="16"/>
        <v>2055.7400000000002</v>
      </c>
      <c r="W91" s="94">
        <f t="shared" si="16"/>
        <v>2025.14</v>
      </c>
      <c r="X91" s="94">
        <f t="shared" si="16"/>
        <v>2066.54</v>
      </c>
      <c r="Y91" s="94">
        <f>Y89+Y90</f>
        <v>2151.54</v>
      </c>
      <c r="Z91" s="94">
        <f>Z89+Z90</f>
        <v>2202.7400000000002</v>
      </c>
      <c r="AA91" s="94">
        <f t="shared" si="16"/>
        <v>2177.34</v>
      </c>
      <c r="AB91" s="94">
        <f t="shared" si="16"/>
        <v>2154.64</v>
      </c>
      <c r="AC91" s="94">
        <f>AC89+AC90</f>
        <v>2113.64</v>
      </c>
      <c r="AD91" s="94">
        <f>AD89+AD90</f>
        <v>2110.64</v>
      </c>
      <c r="AE91" s="94">
        <f>AE89+AE90</f>
        <v>2018.14</v>
      </c>
      <c r="AF91" s="94">
        <f>AF89+AF90</f>
        <v>1970.44</v>
      </c>
      <c r="AG91" s="87">
        <f>AG88+AG84+AG72+AG68+AG50+AG90</f>
        <v>1573.45</v>
      </c>
      <c r="AH91" s="47">
        <f t="shared" si="10"/>
        <v>2546.1400000000003</v>
      </c>
      <c r="AI91" s="48">
        <f t="shared" si="11"/>
        <v>1970.44</v>
      </c>
    </row>
    <row r="92" spans="1:40" ht="15.75" thickBot="1" x14ac:dyDescent="0.3">
      <c r="A92" s="73" t="s">
        <v>103</v>
      </c>
      <c r="B92" s="94">
        <f>B91-(-B99)</f>
        <v>1664.8400000000001</v>
      </c>
      <c r="C92" s="94">
        <f t="shared" ref="C92:AB92" si="18">C91-(-C99)</f>
        <v>1638.04</v>
      </c>
      <c r="D92" s="94">
        <f t="shared" si="18"/>
        <v>1636.54</v>
      </c>
      <c r="E92" s="94">
        <f t="shared" ref="E92:M92" si="19">E91-(-E99)</f>
        <v>1560.4399999999998</v>
      </c>
      <c r="F92" s="94">
        <f t="shared" si="19"/>
        <v>1530.9399999999998</v>
      </c>
      <c r="G92" s="94">
        <f t="shared" si="19"/>
        <v>1513.2399999999998</v>
      </c>
      <c r="H92" s="94">
        <f t="shared" si="19"/>
        <v>1569.4399999999998</v>
      </c>
      <c r="I92" s="94">
        <f t="shared" si="19"/>
        <v>1569.4399999999998</v>
      </c>
      <c r="J92" s="94">
        <f t="shared" si="19"/>
        <v>1541.74</v>
      </c>
      <c r="K92" s="94">
        <f t="shared" si="19"/>
        <v>3048.1400000000003</v>
      </c>
      <c r="L92" s="94">
        <f t="shared" si="19"/>
        <v>1575.14</v>
      </c>
      <c r="M92" s="94">
        <f t="shared" si="19"/>
        <v>1562.14</v>
      </c>
      <c r="N92" s="94">
        <f t="shared" si="18"/>
        <v>1557.84</v>
      </c>
      <c r="O92" s="94">
        <f t="shared" si="18"/>
        <v>1577.8400000000001</v>
      </c>
      <c r="P92" s="94">
        <f t="shared" si="18"/>
        <v>1574.1400000000003</v>
      </c>
      <c r="Q92" s="94">
        <f t="shared" si="18"/>
        <v>1583.94</v>
      </c>
      <c r="R92" s="94">
        <f t="shared" si="18"/>
        <v>1583.94</v>
      </c>
      <c r="S92" s="94">
        <f t="shared" si="18"/>
        <v>1609.2399999999998</v>
      </c>
      <c r="T92" s="94">
        <f t="shared" si="18"/>
        <v>1610.1400000000003</v>
      </c>
      <c r="U92" s="94">
        <f t="shared" si="18"/>
        <v>1570.7400000000002</v>
      </c>
      <c r="V92" s="94">
        <f t="shared" si="18"/>
        <v>1546.7400000000002</v>
      </c>
      <c r="W92" s="94">
        <f t="shared" si="18"/>
        <v>1527.14</v>
      </c>
      <c r="X92" s="94">
        <f t="shared" si="18"/>
        <v>1616.54</v>
      </c>
      <c r="Y92" s="94">
        <f>Y91-(-Y99)</f>
        <v>1747.54</v>
      </c>
      <c r="Z92" s="94">
        <f>Z91-(-Z99)</f>
        <v>1792.7400000000002</v>
      </c>
      <c r="AA92" s="94">
        <f t="shared" si="18"/>
        <v>1737.3400000000001</v>
      </c>
      <c r="AB92" s="94">
        <f t="shared" si="18"/>
        <v>1724.6399999999999</v>
      </c>
      <c r="AC92" s="94">
        <f>AC91-(-AC99)</f>
        <v>1697.6399999999999</v>
      </c>
      <c r="AD92" s="94">
        <f>AD91-(-AD99)</f>
        <v>1670.6399999999999</v>
      </c>
      <c r="AE92" s="94">
        <f>AE91-(-AE99)</f>
        <v>1568.14</v>
      </c>
      <c r="AF92" s="94">
        <f>AF91-(-AF99)</f>
        <v>1549.44</v>
      </c>
      <c r="AG92" s="87"/>
      <c r="AH92" s="47">
        <f t="shared" si="10"/>
        <v>3048.1400000000003</v>
      </c>
      <c r="AI92" s="48">
        <f t="shared" si="11"/>
        <v>1513.2399999999998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0"/>
        <v>0</v>
      </c>
      <c r="AI93" s="48">
        <f t="shared" si="11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0"/>
        <v>0</v>
      </c>
      <c r="AI94" s="48">
        <f t="shared" si="11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0"/>
        <v>0</v>
      </c>
      <c r="AI95" s="48">
        <f t="shared" si="11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0"/>
        <v>0</v>
      </c>
      <c r="AI96" s="48">
        <f t="shared" si="11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0"/>
        <v>0</v>
      </c>
      <c r="AI97" s="48">
        <f t="shared" si="11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0"/>
        <v>0</v>
      </c>
      <c r="AI98" s="48">
        <f t="shared" si="11"/>
        <v>0</v>
      </c>
    </row>
    <row r="99" spans="1:37" ht="15.75" thickBot="1" x14ac:dyDescent="0.3">
      <c r="A99" s="98" t="s">
        <v>107</v>
      </c>
      <c r="B99" s="60">
        <f>B75</f>
        <v>-406</v>
      </c>
      <c r="C99" s="60">
        <f t="shared" ref="C99:AB99" si="20">C75</f>
        <v>-425</v>
      </c>
      <c r="D99" s="60">
        <f t="shared" si="20"/>
        <v>-440</v>
      </c>
      <c r="E99" s="60">
        <f t="shared" ref="E99:M99" si="21">E75</f>
        <v>-438</v>
      </c>
      <c r="F99" s="60">
        <f t="shared" si="21"/>
        <v>-468.2</v>
      </c>
      <c r="G99" s="60">
        <f t="shared" si="21"/>
        <v>-481</v>
      </c>
      <c r="H99" s="60">
        <f t="shared" si="21"/>
        <v>-438</v>
      </c>
      <c r="I99" s="60">
        <f t="shared" si="21"/>
        <v>-438</v>
      </c>
      <c r="J99" s="60">
        <f t="shared" si="21"/>
        <v>-500</v>
      </c>
      <c r="K99" s="60">
        <f t="shared" si="21"/>
        <v>502</v>
      </c>
      <c r="L99" s="60">
        <f t="shared" si="21"/>
        <v>-463</v>
      </c>
      <c r="M99" s="60">
        <f t="shared" si="21"/>
        <v>-463</v>
      </c>
      <c r="N99" s="60">
        <f t="shared" si="20"/>
        <v>-506.3</v>
      </c>
      <c r="O99" s="60">
        <f t="shared" si="20"/>
        <v>-512.6</v>
      </c>
      <c r="P99" s="60">
        <f t="shared" si="20"/>
        <v>-524.6</v>
      </c>
      <c r="Q99" s="60">
        <f t="shared" si="20"/>
        <v>-458</v>
      </c>
      <c r="R99" s="60">
        <f t="shared" si="20"/>
        <v>-458</v>
      </c>
      <c r="S99" s="60">
        <f t="shared" si="20"/>
        <v>-465</v>
      </c>
      <c r="T99" s="60">
        <f t="shared" si="20"/>
        <v>-474</v>
      </c>
      <c r="U99" s="60">
        <f t="shared" si="20"/>
        <v>-499</v>
      </c>
      <c r="V99" s="60">
        <f t="shared" si="20"/>
        <v>-509</v>
      </c>
      <c r="W99" s="60">
        <f t="shared" si="20"/>
        <v>-498</v>
      </c>
      <c r="X99" s="60">
        <f t="shared" si="20"/>
        <v>-450</v>
      </c>
      <c r="Y99" s="60">
        <f>Y75</f>
        <v>-404</v>
      </c>
      <c r="Z99" s="60">
        <f>Z75</f>
        <v>-410</v>
      </c>
      <c r="AA99" s="60">
        <f t="shared" si="20"/>
        <v>-440</v>
      </c>
      <c r="AB99" s="60">
        <f t="shared" si="20"/>
        <v>-430</v>
      </c>
      <c r="AC99" s="60">
        <f>AC75</f>
        <v>-416</v>
      </c>
      <c r="AD99" s="60">
        <f>AD75</f>
        <v>-440</v>
      </c>
      <c r="AE99" s="60">
        <f>AE75</f>
        <v>-450</v>
      </c>
      <c r="AF99" s="60">
        <f>AF75</f>
        <v>-421</v>
      </c>
      <c r="AG99" s="87"/>
      <c r="AH99" s="47">
        <f t="shared" si="10"/>
        <v>502</v>
      </c>
      <c r="AI99" s="48">
        <f t="shared" si="11"/>
        <v>-524.6</v>
      </c>
      <c r="AK99" s="50"/>
    </row>
    <row r="100" spans="1:37" ht="15.75" thickBot="1" x14ac:dyDescent="0.3">
      <c r="A100" s="73" t="s">
        <v>108</v>
      </c>
      <c r="B100" s="60">
        <f t="shared" ref="B100:AB100" si="22">B84-B99</f>
        <v>451.3</v>
      </c>
      <c r="C100" s="60">
        <f t="shared" si="22"/>
        <v>465</v>
      </c>
      <c r="D100" s="60">
        <f t="shared" si="22"/>
        <v>473</v>
      </c>
      <c r="E100" s="60">
        <f t="shared" ref="E100:M100" si="23">E84-E99</f>
        <v>463.3</v>
      </c>
      <c r="F100" s="60">
        <f t="shared" si="23"/>
        <v>494.2</v>
      </c>
      <c r="G100" s="60">
        <f t="shared" si="23"/>
        <v>502.1</v>
      </c>
      <c r="H100" s="60">
        <f t="shared" si="23"/>
        <v>463.3</v>
      </c>
      <c r="I100" s="60">
        <f t="shared" si="23"/>
        <v>463.3</v>
      </c>
      <c r="J100" s="60">
        <f t="shared" si="23"/>
        <v>519.79999999999995</v>
      </c>
      <c r="K100" s="60">
        <f t="shared" si="23"/>
        <v>20.200000000000045</v>
      </c>
      <c r="L100" s="60">
        <f t="shared" si="23"/>
        <v>463</v>
      </c>
      <c r="M100" s="60">
        <f t="shared" si="23"/>
        <v>463</v>
      </c>
      <c r="N100" s="60">
        <f t="shared" si="22"/>
        <v>506.3</v>
      </c>
      <c r="O100" s="60">
        <f t="shared" si="22"/>
        <v>512.6</v>
      </c>
      <c r="P100" s="60">
        <f t="shared" si="22"/>
        <v>527.5</v>
      </c>
      <c r="Q100" s="60">
        <f t="shared" si="22"/>
        <v>461</v>
      </c>
      <c r="R100" s="60">
        <f t="shared" si="22"/>
        <v>461</v>
      </c>
      <c r="S100" s="60">
        <f t="shared" si="22"/>
        <v>468</v>
      </c>
      <c r="T100" s="60">
        <f t="shared" si="22"/>
        <v>480.5</v>
      </c>
      <c r="U100" s="60">
        <f t="shared" si="22"/>
        <v>504.4</v>
      </c>
      <c r="V100" s="60">
        <f t="shared" si="22"/>
        <v>509.8</v>
      </c>
      <c r="W100" s="60">
        <f t="shared" si="22"/>
        <v>498</v>
      </c>
      <c r="X100" s="60">
        <f t="shared" si="22"/>
        <v>450</v>
      </c>
      <c r="Y100" s="60">
        <f>Y84-Y99</f>
        <v>417</v>
      </c>
      <c r="Z100" s="60">
        <f>Z84-Z99</f>
        <v>433.3</v>
      </c>
      <c r="AA100" s="60">
        <f t="shared" si="22"/>
        <v>457.5</v>
      </c>
      <c r="AB100" s="60">
        <f t="shared" si="22"/>
        <v>450</v>
      </c>
      <c r="AC100" s="60">
        <f>AC84-AC99</f>
        <v>419</v>
      </c>
      <c r="AD100" s="60">
        <f>AD84-AD99</f>
        <v>440</v>
      </c>
      <c r="AE100" s="60">
        <f>AE84-AE99</f>
        <v>450</v>
      </c>
      <c r="AF100" s="60">
        <f>AF84-AF99</f>
        <v>421</v>
      </c>
      <c r="AG100" s="87"/>
      <c r="AH100" s="47">
        <f t="shared" si="10"/>
        <v>527.5</v>
      </c>
      <c r="AI100" s="48">
        <f t="shared" si="11"/>
        <v>20.200000000000045</v>
      </c>
    </row>
    <row r="101" spans="1:37" x14ac:dyDescent="0.25">
      <c r="A101" s="99" t="s">
        <v>109</v>
      </c>
      <c r="B101" s="100">
        <v>50.015999999999998</v>
      </c>
      <c r="C101" s="100">
        <v>49.991999999999997</v>
      </c>
      <c r="D101" s="100">
        <v>49.973999999999997</v>
      </c>
      <c r="E101" s="100">
        <v>50.005000000000003</v>
      </c>
      <c r="F101" s="100">
        <v>50.005000000000003</v>
      </c>
      <c r="G101" s="100">
        <v>50.005000000000003</v>
      </c>
      <c r="H101" s="100">
        <v>50.005000000000003</v>
      </c>
      <c r="I101" s="100">
        <v>50.005000000000003</v>
      </c>
      <c r="J101" s="100">
        <v>50.015999999999998</v>
      </c>
      <c r="K101" s="100">
        <v>50.101999999999997</v>
      </c>
      <c r="L101" s="100">
        <v>50.145000000000003</v>
      </c>
      <c r="M101" s="100">
        <v>50.05</v>
      </c>
      <c r="N101" s="100"/>
      <c r="O101" s="100">
        <v>50.033000000000001</v>
      </c>
      <c r="P101" s="100">
        <v>50.024000000000001</v>
      </c>
      <c r="Q101" s="100">
        <v>49.945</v>
      </c>
      <c r="R101" s="100">
        <v>49.945</v>
      </c>
      <c r="S101" s="100">
        <v>49.97</v>
      </c>
      <c r="T101" s="100">
        <v>49.97</v>
      </c>
      <c r="U101" s="100">
        <v>50.197000000000003</v>
      </c>
      <c r="V101" s="100">
        <v>49.978000000000002</v>
      </c>
      <c r="W101" s="100">
        <v>49.951999999999998</v>
      </c>
      <c r="X101" s="100">
        <v>49.896999999999998</v>
      </c>
      <c r="Y101" s="100">
        <v>49.957000000000001</v>
      </c>
      <c r="Z101" s="100">
        <v>50.116999999999997</v>
      </c>
      <c r="AA101" s="100">
        <v>50.057000000000002</v>
      </c>
      <c r="AB101" s="100">
        <v>50.1</v>
      </c>
      <c r="AC101" s="100">
        <v>50</v>
      </c>
      <c r="AD101" s="100">
        <v>50.01</v>
      </c>
      <c r="AE101" s="100">
        <v>50.01</v>
      </c>
      <c r="AF101" s="100">
        <v>50.04</v>
      </c>
      <c r="AG101" s="101"/>
      <c r="AH101" s="47">
        <f t="shared" si="10"/>
        <v>50.197000000000003</v>
      </c>
      <c r="AI101" s="48">
        <f t="shared" si="11"/>
        <v>49.896999999999998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0"/>
        <v>0</v>
      </c>
      <c r="AI102" s="48">
        <f t="shared" si="11"/>
        <v>0</v>
      </c>
    </row>
    <row r="103" spans="1:37" x14ac:dyDescent="0.25">
      <c r="A103" s="102" t="s">
        <v>111</v>
      </c>
      <c r="B103" s="64">
        <v>126.9</v>
      </c>
      <c r="C103" s="64">
        <v>128</v>
      </c>
      <c r="D103" s="64">
        <v>128.5</v>
      </c>
      <c r="E103" s="64">
        <v>126.5</v>
      </c>
      <c r="F103" s="64">
        <v>126.5</v>
      </c>
      <c r="G103" s="64">
        <v>126.5</v>
      </c>
      <c r="H103" s="64">
        <v>126.5</v>
      </c>
      <c r="I103" s="64">
        <v>126.5</v>
      </c>
      <c r="J103" s="64">
        <v>127.2</v>
      </c>
      <c r="K103" s="64">
        <v>124.8</v>
      </c>
      <c r="L103" s="64">
        <v>125</v>
      </c>
      <c r="M103" s="64">
        <v>125</v>
      </c>
      <c r="N103" s="64"/>
      <c r="O103" s="64">
        <v>124.9</v>
      </c>
      <c r="P103" s="64">
        <v>125.1</v>
      </c>
      <c r="Q103" s="64">
        <v>124.3</v>
      </c>
      <c r="R103" s="64">
        <v>124.3</v>
      </c>
      <c r="S103" s="64">
        <v>125.1</v>
      </c>
      <c r="T103" s="64">
        <v>126.4</v>
      </c>
      <c r="U103" s="64">
        <v>126.4</v>
      </c>
      <c r="V103" s="64">
        <v>127.7</v>
      </c>
      <c r="W103" s="64">
        <v>126</v>
      </c>
      <c r="X103" s="64">
        <v>127.8</v>
      </c>
      <c r="Y103" s="64">
        <v>127</v>
      </c>
      <c r="Z103" s="64">
        <v>128.30000000000001</v>
      </c>
      <c r="AA103" s="64">
        <v>128.30000000000001</v>
      </c>
      <c r="AB103" s="64">
        <v>128.30000000000001</v>
      </c>
      <c r="AC103" s="64">
        <v>128.30000000000001</v>
      </c>
      <c r="AD103" s="64">
        <v>128.30000000000001</v>
      </c>
      <c r="AE103" s="64">
        <v>128.30000000000001</v>
      </c>
      <c r="AF103" s="64">
        <v>129</v>
      </c>
      <c r="AG103" s="103"/>
      <c r="AH103" s="47">
        <f t="shared" si="10"/>
        <v>129</v>
      </c>
      <c r="AI103" s="48">
        <f t="shared" si="11"/>
        <v>124.3</v>
      </c>
    </row>
    <row r="104" spans="1:37" x14ac:dyDescent="0.25">
      <c r="A104" s="102" t="s">
        <v>112</v>
      </c>
      <c r="B104" s="64">
        <v>127.8</v>
      </c>
      <c r="C104" s="64">
        <v>129.6</v>
      </c>
      <c r="D104" s="64">
        <v>127.2</v>
      </c>
      <c r="E104" s="64">
        <v>129.6</v>
      </c>
      <c r="F104" s="64">
        <v>129.6</v>
      </c>
      <c r="G104" s="64">
        <v>129.6</v>
      </c>
      <c r="H104" s="64">
        <v>129.6</v>
      </c>
      <c r="I104" s="64">
        <v>129.6</v>
      </c>
      <c r="J104" s="64">
        <v>130.5</v>
      </c>
      <c r="K104" s="64">
        <v>129.19999999999999</v>
      </c>
      <c r="L104" s="64">
        <v>129.9</v>
      </c>
      <c r="M104" s="64">
        <v>129.5</v>
      </c>
      <c r="N104" s="64"/>
      <c r="O104" s="64">
        <v>128</v>
      </c>
      <c r="P104" s="64">
        <v>129.4</v>
      </c>
      <c r="Q104" s="64">
        <v>127.8</v>
      </c>
      <c r="R104" s="64">
        <v>127.8</v>
      </c>
      <c r="S104" s="64">
        <v>128.19999999999999</v>
      </c>
      <c r="T104" s="64">
        <v>127.8</v>
      </c>
      <c r="U104" s="64">
        <v>127.8</v>
      </c>
      <c r="V104" s="64">
        <v>129.5</v>
      </c>
      <c r="W104" s="64">
        <v>129.69999999999999</v>
      </c>
      <c r="X104" s="64">
        <v>129</v>
      </c>
      <c r="Y104" s="64">
        <v>127.7</v>
      </c>
      <c r="Z104" s="64">
        <v>129.69999999999999</v>
      </c>
      <c r="AA104" s="64">
        <v>129.69999999999999</v>
      </c>
      <c r="AB104" s="64">
        <v>129.69999999999999</v>
      </c>
      <c r="AC104" s="64">
        <v>129.69999999999999</v>
      </c>
      <c r="AD104" s="64">
        <v>129.69999999999999</v>
      </c>
      <c r="AE104" s="64">
        <v>129.69999999999999</v>
      </c>
      <c r="AF104" s="64">
        <v>128</v>
      </c>
      <c r="AG104" s="103"/>
      <c r="AH104" s="47">
        <f t="shared" si="10"/>
        <v>130.5</v>
      </c>
      <c r="AI104" s="48">
        <f t="shared" si="11"/>
        <v>127.2</v>
      </c>
    </row>
    <row r="105" spans="1:37" x14ac:dyDescent="0.25">
      <c r="A105" s="104" t="s">
        <v>113</v>
      </c>
      <c r="B105" s="64">
        <v>132.1</v>
      </c>
      <c r="C105" s="64">
        <v>133.30000000000001</v>
      </c>
      <c r="D105" s="64">
        <v>132.4</v>
      </c>
      <c r="E105" s="64">
        <v>134.4</v>
      </c>
      <c r="F105" s="64">
        <v>134.4</v>
      </c>
      <c r="G105" s="64">
        <v>134.4</v>
      </c>
      <c r="H105" s="64">
        <v>134.4</v>
      </c>
      <c r="I105" s="64">
        <v>134.4</v>
      </c>
      <c r="J105" s="64">
        <v>134.4</v>
      </c>
      <c r="K105" s="64">
        <v>133.30000000000001</v>
      </c>
      <c r="L105" s="64">
        <v>133.5</v>
      </c>
      <c r="M105" s="64">
        <v>132.30000000000001</v>
      </c>
      <c r="N105" s="64"/>
      <c r="O105" s="64">
        <v>130.1</v>
      </c>
      <c r="P105" s="64">
        <v>130.9</v>
      </c>
      <c r="Q105" s="64">
        <v>128.6</v>
      </c>
      <c r="R105" s="64">
        <v>128.6</v>
      </c>
      <c r="S105" s="64">
        <v>129.69999999999999</v>
      </c>
      <c r="T105" s="64">
        <v>129.30000000000001</v>
      </c>
      <c r="U105" s="64">
        <v>129.30000000000001</v>
      </c>
      <c r="V105" s="64">
        <v>132.80000000000001</v>
      </c>
      <c r="W105" s="64">
        <v>132.1</v>
      </c>
      <c r="X105" s="64">
        <v>131.19999999999999</v>
      </c>
      <c r="Y105" s="64">
        <v>130</v>
      </c>
      <c r="Z105" s="64">
        <v>130</v>
      </c>
      <c r="AA105" s="64">
        <v>130</v>
      </c>
      <c r="AB105" s="64">
        <v>130</v>
      </c>
      <c r="AC105" s="64">
        <v>130</v>
      </c>
      <c r="AD105" s="64">
        <v>130</v>
      </c>
      <c r="AE105" s="64">
        <v>130</v>
      </c>
      <c r="AF105" s="64">
        <v>130.9</v>
      </c>
      <c r="AG105" s="103"/>
      <c r="AH105" s="47">
        <f t="shared" si="10"/>
        <v>134.4</v>
      </c>
      <c r="AI105" s="48">
        <f t="shared" si="11"/>
        <v>128.6</v>
      </c>
    </row>
    <row r="106" spans="1:37" x14ac:dyDescent="0.25">
      <c r="A106" s="104" t="s">
        <v>114</v>
      </c>
      <c r="B106" s="105">
        <v>133.80000000000001</v>
      </c>
      <c r="C106" s="105">
        <v>133.1</v>
      </c>
      <c r="D106" s="105">
        <v>131.5</v>
      </c>
      <c r="E106" s="105">
        <v>131.4</v>
      </c>
      <c r="F106" s="105">
        <v>131.4</v>
      </c>
      <c r="G106" s="105">
        <v>131.4</v>
      </c>
      <c r="H106" s="105">
        <v>131.4</v>
      </c>
      <c r="I106" s="105">
        <v>131.4</v>
      </c>
      <c r="J106" s="105">
        <v>134.5</v>
      </c>
      <c r="K106" s="105">
        <v>133.5</v>
      </c>
      <c r="L106" s="105">
        <v>134.5</v>
      </c>
      <c r="M106" s="105">
        <v>131.69</v>
      </c>
      <c r="N106" s="105"/>
      <c r="O106" s="105">
        <v>133.69999999999999</v>
      </c>
      <c r="P106" s="105">
        <v>132.6</v>
      </c>
      <c r="Q106" s="105">
        <v>131.4</v>
      </c>
      <c r="R106" s="105">
        <v>131.4</v>
      </c>
      <c r="S106" s="105">
        <v>131.4</v>
      </c>
      <c r="T106" s="105">
        <v>133.5</v>
      </c>
      <c r="U106" s="105">
        <v>133.5</v>
      </c>
      <c r="V106" s="105">
        <v>132.80000000000001</v>
      </c>
      <c r="W106" s="105">
        <v>131.80000000000001</v>
      </c>
      <c r="X106" s="105">
        <v>135</v>
      </c>
      <c r="Y106" s="105">
        <v>133.19999999999999</v>
      </c>
      <c r="Z106" s="105">
        <v>133.19999999999999</v>
      </c>
      <c r="AA106" s="105">
        <v>133.19999999999999</v>
      </c>
      <c r="AB106" s="105">
        <v>133.19999999999999</v>
      </c>
      <c r="AC106" s="105">
        <v>133.19999999999999</v>
      </c>
      <c r="AD106" s="105">
        <v>133.19999999999999</v>
      </c>
      <c r="AE106" s="105">
        <v>133.19999999999999</v>
      </c>
      <c r="AF106" s="105">
        <v>129.5</v>
      </c>
      <c r="AG106" s="106"/>
      <c r="AH106" s="47">
        <f t="shared" si="10"/>
        <v>135</v>
      </c>
      <c r="AI106" s="48">
        <f t="shared" si="11"/>
        <v>129.5</v>
      </c>
    </row>
    <row r="107" spans="1:37" x14ac:dyDescent="0.25">
      <c r="A107" s="102" t="s">
        <v>115</v>
      </c>
      <c r="B107" s="64">
        <v>131.5</v>
      </c>
      <c r="C107" s="64">
        <v>131.5</v>
      </c>
      <c r="D107" s="64">
        <v>129.30000000000001</v>
      </c>
      <c r="E107" s="64">
        <v>129.5</v>
      </c>
      <c r="F107" s="64">
        <v>129.5</v>
      </c>
      <c r="G107" s="64">
        <v>129.5</v>
      </c>
      <c r="H107" s="64">
        <v>129.5</v>
      </c>
      <c r="I107" s="64">
        <v>129.5</v>
      </c>
      <c r="J107" s="64">
        <v>133.6</v>
      </c>
      <c r="K107" s="64">
        <v>130.9</v>
      </c>
      <c r="L107" s="64">
        <v>133.6</v>
      </c>
      <c r="M107" s="64">
        <v>131.19999999999999</v>
      </c>
      <c r="N107" s="64"/>
      <c r="O107" s="64">
        <v>134.19999999999999</v>
      </c>
      <c r="P107" s="64">
        <v>135.5</v>
      </c>
      <c r="Q107" s="64">
        <v>132.6</v>
      </c>
      <c r="R107" s="64">
        <v>132.6</v>
      </c>
      <c r="S107" s="64">
        <v>132.6</v>
      </c>
      <c r="T107" s="64">
        <v>133.30000000000001</v>
      </c>
      <c r="U107" s="64">
        <v>133.30000000000001</v>
      </c>
      <c r="V107" s="64">
        <v>129.80000000000001</v>
      </c>
      <c r="W107" s="64">
        <v>130</v>
      </c>
      <c r="X107" s="64">
        <v>134</v>
      </c>
      <c r="Y107" s="64">
        <v>131.69999999999999</v>
      </c>
      <c r="Z107" s="64">
        <v>131.69999999999999</v>
      </c>
      <c r="AA107" s="64">
        <v>131.69999999999999</v>
      </c>
      <c r="AB107" s="64">
        <v>131.69999999999999</v>
      </c>
      <c r="AC107" s="64">
        <v>131.69999999999999</v>
      </c>
      <c r="AD107" s="64">
        <v>131.69999999999999</v>
      </c>
      <c r="AE107" s="64">
        <v>131.69999999999999</v>
      </c>
      <c r="AF107" s="64">
        <v>125.4</v>
      </c>
      <c r="AG107" s="103"/>
      <c r="AH107" s="47">
        <f t="shared" si="10"/>
        <v>135.5</v>
      </c>
      <c r="AI107" s="48">
        <f t="shared" si="11"/>
        <v>125.4</v>
      </c>
    </row>
    <row r="108" spans="1:37" ht="15.75" thickBot="1" x14ac:dyDescent="0.3">
      <c r="A108" s="102" t="s">
        <v>116</v>
      </c>
      <c r="B108" s="91">
        <v>64.3</v>
      </c>
      <c r="C108" s="91">
        <v>64.5</v>
      </c>
      <c r="D108" s="91">
        <v>64.5</v>
      </c>
      <c r="E108" s="91">
        <v>64</v>
      </c>
      <c r="F108" s="91">
        <v>64</v>
      </c>
      <c r="G108" s="91">
        <v>64</v>
      </c>
      <c r="H108" s="91">
        <v>64</v>
      </c>
      <c r="I108" s="91">
        <v>64</v>
      </c>
      <c r="J108" s="91">
        <v>63.7</v>
      </c>
      <c r="K108" s="91">
        <v>62.5</v>
      </c>
      <c r="L108" s="91">
        <v>63.7</v>
      </c>
      <c r="M108" s="91">
        <v>62.6</v>
      </c>
      <c r="N108" s="91"/>
      <c r="O108" s="91">
        <v>62.5</v>
      </c>
      <c r="P108" s="91">
        <v>62.7</v>
      </c>
      <c r="Q108" s="91">
        <v>62.3</v>
      </c>
      <c r="R108" s="91">
        <v>62.3</v>
      </c>
      <c r="S108" s="91">
        <v>62.3</v>
      </c>
      <c r="T108" s="91">
        <v>63.1</v>
      </c>
      <c r="U108" s="91">
        <v>63.1</v>
      </c>
      <c r="V108" s="91">
        <v>63.8</v>
      </c>
      <c r="W108" s="91">
        <v>62.9</v>
      </c>
      <c r="X108" s="91">
        <v>64</v>
      </c>
      <c r="Y108" s="91">
        <v>63.4</v>
      </c>
      <c r="Z108" s="91">
        <v>63.4</v>
      </c>
      <c r="AA108" s="91">
        <v>63.4</v>
      </c>
      <c r="AB108" s="91">
        <v>63.4</v>
      </c>
      <c r="AC108" s="91">
        <v>63.4</v>
      </c>
      <c r="AD108" s="91">
        <v>63.4</v>
      </c>
      <c r="AE108" s="91">
        <v>63.4</v>
      </c>
      <c r="AF108" s="91">
        <v>65.5</v>
      </c>
      <c r="AG108" s="107"/>
      <c r="AH108" s="47">
        <f t="shared" si="10"/>
        <v>65.5</v>
      </c>
      <c r="AI108" s="48">
        <f t="shared" si="11"/>
        <v>62.3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 t="s">
        <v>117</v>
      </c>
      <c r="Z109" s="91" t="s">
        <v>117</v>
      </c>
      <c r="AA109" s="91"/>
      <c r="AB109" s="91"/>
      <c r="AC109" s="91"/>
      <c r="AD109" s="91"/>
      <c r="AE109" s="91"/>
      <c r="AF109" s="91"/>
      <c r="AG109" s="107"/>
      <c r="AH109" s="47">
        <f t="shared" si="10"/>
        <v>0</v>
      </c>
      <c r="AI109" s="48">
        <f t="shared" si="11"/>
        <v>0</v>
      </c>
    </row>
    <row r="110" spans="1:37" ht="15.75" thickBot="1" x14ac:dyDescent="0.3">
      <c r="A110" s="109" t="s">
        <v>118</v>
      </c>
      <c r="B110" s="110">
        <f t="shared" ref="B110:O110" si="24">SUM(B20,B26,B29:B30,B58,B60:B61,B63,B65,B111:B115,B138,B144,B150,B159,B161,B173,B180,B183:B184,B191,B193,B195,B199:B201,B203:B205,B210,B216:B217,B219:B221,B229,B234)</f>
        <v>43.100000000000023</v>
      </c>
      <c r="C110" s="110">
        <f t="shared" si="24"/>
        <v>35.440000000000033</v>
      </c>
      <c r="D110" s="110">
        <f t="shared" si="24"/>
        <v>71.239999999999981</v>
      </c>
      <c r="E110" s="110">
        <f t="shared" si="24"/>
        <v>56.539999999999985</v>
      </c>
      <c r="F110" s="110">
        <f t="shared" si="24"/>
        <v>53.839999999999996</v>
      </c>
      <c r="G110" s="110">
        <f t="shared" si="24"/>
        <v>335.93999999999994</v>
      </c>
      <c r="H110" s="110">
        <f t="shared" si="24"/>
        <v>101.94000000000001</v>
      </c>
      <c r="I110" s="110">
        <f t="shared" si="24"/>
        <v>101.94000000000001</v>
      </c>
      <c r="J110" s="110">
        <f t="shared" si="24"/>
        <v>164.74000000000004</v>
      </c>
      <c r="K110" s="110">
        <f t="shared" si="24"/>
        <v>186.14</v>
      </c>
      <c r="L110" s="110">
        <f t="shared" si="24"/>
        <v>199.14</v>
      </c>
      <c r="M110" s="110">
        <f t="shared" si="24"/>
        <v>311.04000000000002</v>
      </c>
      <c r="N110" s="110">
        <f t="shared" si="24"/>
        <v>198.34</v>
      </c>
      <c r="O110" s="110">
        <f t="shared" si="24"/>
        <v>333.34000000000003</v>
      </c>
      <c r="P110" s="110">
        <v>42</v>
      </c>
      <c r="Q110" s="110">
        <f t="shared" ref="Q110:AB110" si="25">SUM(Q20,Q26,Q29:Q30,Q58,Q60:Q61,Q63,Q65,Q111:Q115,Q138,Q144,Q150,Q159,Q161,Q173,Q180,Q183:Q184,Q191,Q193,Q195,Q199:Q201,Q203:Q205,Q210,Q216:Q217,Q219:Q221,Q229,Q234)</f>
        <v>340.29999999999995</v>
      </c>
      <c r="R110" s="110">
        <f t="shared" si="25"/>
        <v>340.29999999999995</v>
      </c>
      <c r="S110" s="110">
        <f t="shared" si="25"/>
        <v>334.29999999999995</v>
      </c>
      <c r="T110" s="110">
        <f t="shared" si="25"/>
        <v>325.19999999999993</v>
      </c>
      <c r="U110" s="110">
        <f t="shared" si="25"/>
        <v>325.19999999999993</v>
      </c>
      <c r="V110" s="110">
        <f t="shared" si="25"/>
        <v>310.39999999999998</v>
      </c>
      <c r="W110" s="110">
        <f t="shared" si="25"/>
        <v>252.49999999999997</v>
      </c>
      <c r="X110" s="110">
        <f t="shared" si="25"/>
        <v>271.89999999999998</v>
      </c>
      <c r="Y110" s="110">
        <f>SUM(Y20,Y26,Y29:Y30,Y58,Y60:Y61,Y63,Y65,Y111:Y115,Y138,Y144,Y150,Y159,Y161,Y173,Y180,Y183:Y184,Y191,Y193,Y195,Y199:Y201,Y203:Y205,Y210,Y216:Y217,Y219:Y221,Y229,Y234)</f>
        <v>277.7</v>
      </c>
      <c r="Z110" s="110">
        <f>SUM(Z20,Z26,Z29:Z30,Z58,Z60:Z61,Z63,Z65,Z111:Z115,Z138,Z144,Z150,Z159,Z161,Z173,Z180,Z183:Z184,Z191,Z193,Z195,Z199:Z201,Z203:Z205,Z210,Z216:Z217,Z219:Z221,Z229,Z234)</f>
        <v>254.1</v>
      </c>
      <c r="AA110" s="110">
        <f t="shared" si="25"/>
        <v>246.79999999999998</v>
      </c>
      <c r="AB110" s="110">
        <f t="shared" si="25"/>
        <v>221.7</v>
      </c>
      <c r="AC110" s="110">
        <f>SUM(AC20,AC26,AC29:AC30,AC58,AC60:AC61,AC63,AC65,AC111:AC115,AC138,AC144,AC150,AC159,AC161,AC173,AC180,AC183:AC184,AC191,AC193,AC195,AC199:AC201,AC203:AC205,AC210,AC216:AC217,AC219:AC221,AC229,AC234)</f>
        <v>221.7</v>
      </c>
      <c r="AD110" s="110">
        <f>SUM(AD20,AD26,AD29:AD30,AD58,AD60:AD61,AD63,AD65,AD111:AD115,AD138,AD144,AD150,AD159,AD161,AD173,AD180,AD183:AD184,AD191,AD193,AD195,AD199:AD201,AD203:AD205,AD210,AD216:AD217,AD219:AD221,AD229,AD234)</f>
        <v>169.7</v>
      </c>
      <c r="AE110" s="110">
        <f>SUM(AE20,AE26,AE29:AE30,AE58,AE60:AE61,AE63,AE65,AE111:AE115,AE138,AE144,AE150,AE159,AE161,AE173,AE180,AE183:AE184,AE191,AE193,AE195,AE199:AE201,AE203:AE205,AE210,AE216:AE217,AE219:AE221,AE229,AE234)</f>
        <v>120.69999999999999</v>
      </c>
      <c r="AF110" s="110">
        <f>SUM(AF20,AF26,AF29:AF30,AF58,AF60:AF61,AF63,AF65,AF111:AF115,AF138,AF144,AF150,AF159,AF161,AF173,AF180,AF183:AF184,AF191,AF193,AF195,AF199:AF201,AF203:AF205,AF210,AF216:AF217,AF219:AF221,AF229,AF234)</f>
        <v>70.099999999999994</v>
      </c>
      <c r="AG110" s="111"/>
      <c r="AH110" s="47">
        <f t="shared" si="10"/>
        <v>340.29999999999995</v>
      </c>
      <c r="AI110" s="48">
        <f t="shared" si="11"/>
        <v>35.440000000000033</v>
      </c>
    </row>
    <row r="111" spans="1:37" x14ac:dyDescent="0.25">
      <c r="A111" s="99" t="s">
        <v>119</v>
      </c>
      <c r="B111" s="112">
        <v>23.5</v>
      </c>
      <c r="C111" s="112">
        <v>19.8</v>
      </c>
      <c r="D111" s="112">
        <v>21.5</v>
      </c>
      <c r="E111" s="112">
        <v>32.200000000000003</v>
      </c>
      <c r="F111" s="112">
        <v>34</v>
      </c>
      <c r="G111" s="112">
        <v>34.1</v>
      </c>
      <c r="H111" s="112">
        <v>38.299999999999997</v>
      </c>
      <c r="I111" s="112">
        <v>38.299999999999997</v>
      </c>
      <c r="J111" s="112">
        <v>29.3</v>
      </c>
      <c r="K111" s="112">
        <v>34.700000000000003</v>
      </c>
      <c r="L111" s="112">
        <v>37.4</v>
      </c>
      <c r="M111" s="112">
        <v>38</v>
      </c>
      <c r="N111" s="112"/>
      <c r="O111" s="112">
        <v>39.1</v>
      </c>
      <c r="P111" s="112">
        <v>37.6</v>
      </c>
      <c r="Q111" s="112">
        <v>44.2</v>
      </c>
      <c r="R111" s="112">
        <v>44.2</v>
      </c>
      <c r="S111" s="112">
        <v>44.2</v>
      </c>
      <c r="T111" s="112">
        <v>34.299999999999997</v>
      </c>
      <c r="U111" s="112">
        <v>34.299999999999997</v>
      </c>
      <c r="V111" s="112">
        <v>40.200000000000003</v>
      </c>
      <c r="W111" s="112">
        <v>46</v>
      </c>
      <c r="X111" s="112">
        <v>46.3</v>
      </c>
      <c r="Y111" s="112">
        <v>36.799999999999997</v>
      </c>
      <c r="Z111" s="112">
        <v>55.7</v>
      </c>
      <c r="AA111" s="112">
        <v>71.5</v>
      </c>
      <c r="AB111" s="112">
        <v>68</v>
      </c>
      <c r="AC111" s="112">
        <v>68</v>
      </c>
      <c r="AD111" s="112">
        <v>52</v>
      </c>
      <c r="AE111" s="112">
        <v>43</v>
      </c>
      <c r="AF111" s="112">
        <v>30</v>
      </c>
      <c r="AG111" s="113">
        <v>75</v>
      </c>
      <c r="AH111" s="47">
        <f t="shared" si="10"/>
        <v>71.5</v>
      </c>
      <c r="AI111" s="48">
        <f t="shared" si="11"/>
        <v>19.8</v>
      </c>
    </row>
    <row r="112" spans="1:37" x14ac:dyDescent="0.25">
      <c r="A112" s="102" t="s">
        <v>120</v>
      </c>
      <c r="B112" s="114">
        <v>38.200000000000003</v>
      </c>
      <c r="C112" s="114">
        <v>32.200000000000003</v>
      </c>
      <c r="D112" s="114">
        <v>35.299999999999997</v>
      </c>
      <c r="E112" s="114">
        <v>52.6</v>
      </c>
      <c r="F112" s="114">
        <v>56</v>
      </c>
      <c r="G112" s="114">
        <v>54</v>
      </c>
      <c r="H112" s="114">
        <v>60.1</v>
      </c>
      <c r="I112" s="114">
        <v>60.1</v>
      </c>
      <c r="J112" s="114">
        <v>44.1</v>
      </c>
      <c r="K112" s="114">
        <v>45.5</v>
      </c>
      <c r="L112" s="114">
        <v>51.4</v>
      </c>
      <c r="M112" s="114">
        <v>52.3</v>
      </c>
      <c r="N112" s="114"/>
      <c r="O112" s="114">
        <v>53.2</v>
      </c>
      <c r="P112" s="114">
        <v>53.3</v>
      </c>
      <c r="Q112" s="114">
        <v>61.7</v>
      </c>
      <c r="R112" s="114">
        <v>61.7</v>
      </c>
      <c r="S112" s="114">
        <v>61.7</v>
      </c>
      <c r="T112" s="114">
        <v>47.4</v>
      </c>
      <c r="U112" s="114">
        <v>47.4</v>
      </c>
      <c r="V112" s="114">
        <v>54.6</v>
      </c>
      <c r="W112" s="114">
        <v>62.3</v>
      </c>
      <c r="X112" s="114">
        <v>64.8</v>
      </c>
      <c r="Y112" s="114">
        <v>50.5</v>
      </c>
      <c r="Z112" s="114">
        <v>77.5</v>
      </c>
      <c r="AA112" s="114">
        <v>103</v>
      </c>
      <c r="AB112" s="114">
        <v>95</v>
      </c>
      <c r="AC112" s="114">
        <v>95</v>
      </c>
      <c r="AD112" s="114">
        <v>80</v>
      </c>
      <c r="AE112" s="114">
        <v>59</v>
      </c>
      <c r="AF112" s="114">
        <v>45.6</v>
      </c>
      <c r="AG112" s="113">
        <v>240</v>
      </c>
      <c r="AH112" s="47">
        <f t="shared" si="10"/>
        <v>103</v>
      </c>
      <c r="AI112" s="48">
        <f t="shared" si="11"/>
        <v>32.200000000000003</v>
      </c>
    </row>
    <row r="113" spans="1:37" x14ac:dyDescent="0.25">
      <c r="A113" s="102" t="s">
        <v>121</v>
      </c>
      <c r="B113" s="114">
        <v>-180</v>
      </c>
      <c r="C113" s="114">
        <v>-180</v>
      </c>
      <c r="D113" s="114">
        <v>-160</v>
      </c>
      <c r="E113" s="114">
        <v>-140.6</v>
      </c>
      <c r="F113" s="114">
        <v>-149</v>
      </c>
      <c r="G113" s="114">
        <v>131.19999999999999</v>
      </c>
      <c r="H113" s="114">
        <v>-114.8</v>
      </c>
      <c r="I113" s="114">
        <v>-114.8</v>
      </c>
      <c r="J113" s="114">
        <v>-109.8</v>
      </c>
      <c r="K113" s="114">
        <v>-98.5</v>
      </c>
      <c r="L113" s="114">
        <v>-116.6</v>
      </c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>
        <v>-80</v>
      </c>
      <c r="X113" s="114">
        <v>-74</v>
      </c>
      <c r="Y113" s="114">
        <v>-95.6</v>
      </c>
      <c r="Z113" s="114">
        <v>-158</v>
      </c>
      <c r="AA113" s="114">
        <v>-180</v>
      </c>
      <c r="AB113" s="114">
        <v>-165</v>
      </c>
      <c r="AC113" s="114">
        <v>-165</v>
      </c>
      <c r="AD113" s="114">
        <v>-168</v>
      </c>
      <c r="AE113" s="114">
        <v>-170</v>
      </c>
      <c r="AF113" s="114">
        <v>-145</v>
      </c>
      <c r="AG113" s="113">
        <v>240</v>
      </c>
      <c r="AH113" s="47">
        <f t="shared" si="10"/>
        <v>131.19999999999999</v>
      </c>
      <c r="AI113" s="48">
        <f t="shared" si="11"/>
        <v>-180</v>
      </c>
    </row>
    <row r="114" spans="1:37" x14ac:dyDescent="0.25">
      <c r="A114" s="102" t="s">
        <v>122</v>
      </c>
      <c r="B114" s="114">
        <v>-15</v>
      </c>
      <c r="C114" s="114">
        <v>-13.9</v>
      </c>
      <c r="D114" s="114">
        <v>-12.9</v>
      </c>
      <c r="E114" s="114">
        <v>-13.6</v>
      </c>
      <c r="F114" s="114">
        <v>-13.1</v>
      </c>
      <c r="G114" s="114">
        <v>-9.3000000000000007</v>
      </c>
      <c r="H114" s="114">
        <v>-7.6</v>
      </c>
      <c r="I114" s="114">
        <v>-7.6</v>
      </c>
      <c r="J114" s="114">
        <v>-1</v>
      </c>
      <c r="K114" s="114">
        <v>2.7</v>
      </c>
      <c r="L114" s="114">
        <v>3.2</v>
      </c>
      <c r="M114" s="114">
        <v>-2.9</v>
      </c>
      <c r="N114" s="114"/>
      <c r="O114" s="114">
        <v>15</v>
      </c>
      <c r="P114" s="114">
        <v>18.3</v>
      </c>
      <c r="Q114" s="114">
        <v>13.6</v>
      </c>
      <c r="R114" s="114">
        <v>13.6</v>
      </c>
      <c r="S114" s="114">
        <v>13.6</v>
      </c>
      <c r="T114" s="114">
        <v>12.2</v>
      </c>
      <c r="U114" s="114">
        <v>12.2</v>
      </c>
      <c r="V114" s="114">
        <v>11.8</v>
      </c>
      <c r="W114" s="114">
        <v>12</v>
      </c>
      <c r="X114" s="114">
        <v>12.2</v>
      </c>
      <c r="Y114" s="114">
        <v>42.2</v>
      </c>
      <c r="Z114" s="114">
        <v>35.299999999999997</v>
      </c>
      <c r="AA114" s="114">
        <v>14</v>
      </c>
      <c r="AB114" s="114">
        <v>-4</v>
      </c>
      <c r="AC114" s="114">
        <v>-4</v>
      </c>
      <c r="AD114" s="114">
        <v>-8</v>
      </c>
      <c r="AE114" s="114">
        <v>-10</v>
      </c>
      <c r="AF114" s="114">
        <v>-10</v>
      </c>
      <c r="AG114" s="113">
        <v>60</v>
      </c>
      <c r="AH114" s="47">
        <f t="shared" si="10"/>
        <v>42.2</v>
      </c>
      <c r="AI114" s="48">
        <f t="shared" si="11"/>
        <v>-15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25.4</v>
      </c>
      <c r="K115" s="116">
        <v>25</v>
      </c>
      <c r="L115" s="116">
        <v>37.6</v>
      </c>
      <c r="M115" s="116">
        <v>37.5</v>
      </c>
      <c r="N115" s="116"/>
      <c r="O115" s="116">
        <v>28.6</v>
      </c>
      <c r="P115" s="116">
        <v>43.6</v>
      </c>
      <c r="Q115" s="116">
        <v>36</v>
      </c>
      <c r="R115" s="116">
        <v>36</v>
      </c>
      <c r="S115" s="116">
        <v>36</v>
      </c>
      <c r="T115" s="116">
        <v>52.5</v>
      </c>
      <c r="U115" s="116">
        <v>52.5</v>
      </c>
      <c r="V115" s="116">
        <v>32.700000000000003</v>
      </c>
      <c r="W115" s="116">
        <v>32.1</v>
      </c>
      <c r="X115" s="116">
        <v>43.5</v>
      </c>
      <c r="Y115" s="116">
        <v>69.2</v>
      </c>
      <c r="Z115" s="116">
        <v>69.400000000000006</v>
      </c>
      <c r="AA115" s="116">
        <v>54.6</v>
      </c>
      <c r="AB115" s="116">
        <v>44</v>
      </c>
      <c r="AC115" s="116">
        <v>44</v>
      </c>
      <c r="AD115" s="116">
        <v>30</v>
      </c>
      <c r="AE115" s="116">
        <v>25</v>
      </c>
      <c r="AF115" s="116">
        <v>0</v>
      </c>
      <c r="AG115" s="117">
        <v>120</v>
      </c>
      <c r="AH115" s="47">
        <f t="shared" si="10"/>
        <v>69.400000000000006</v>
      </c>
      <c r="AI115" s="48">
        <f t="shared" si="11"/>
        <v>0</v>
      </c>
    </row>
    <row r="116" spans="1:37" x14ac:dyDescent="0.25">
      <c r="A116" s="115" t="s">
        <v>124</v>
      </c>
      <c r="B116" s="116">
        <v>12</v>
      </c>
      <c r="C116" s="116">
        <v>27.5</v>
      </c>
      <c r="D116" s="116">
        <v>50.2</v>
      </c>
      <c r="E116" s="116">
        <v>31.9</v>
      </c>
      <c r="F116" s="116">
        <v>12.4</v>
      </c>
      <c r="G116" s="116">
        <v>25.2</v>
      </c>
      <c r="H116" s="116">
        <v>41.1</v>
      </c>
      <c r="I116" s="116">
        <v>41.1</v>
      </c>
      <c r="J116" s="116">
        <v>49.6</v>
      </c>
      <c r="K116" s="116">
        <v>81.5</v>
      </c>
      <c r="L116" s="116">
        <v>45.3</v>
      </c>
      <c r="M116" s="116">
        <v>41</v>
      </c>
      <c r="N116" s="116"/>
      <c r="O116" s="116">
        <v>25.6</v>
      </c>
      <c r="P116" s="116">
        <v>28.1</v>
      </c>
      <c r="Q116" s="116">
        <v>72</v>
      </c>
      <c r="R116" s="116">
        <v>72</v>
      </c>
      <c r="S116" s="116">
        <v>72</v>
      </c>
      <c r="T116" s="116">
        <v>65.5</v>
      </c>
      <c r="U116" s="116">
        <v>65.5</v>
      </c>
      <c r="V116" s="116">
        <v>60.3</v>
      </c>
      <c r="W116" s="116">
        <v>63.2</v>
      </c>
      <c r="X116" s="116">
        <v>80.5</v>
      </c>
      <c r="Y116" s="116">
        <v>76.400000000000006</v>
      </c>
      <c r="Z116" s="116">
        <v>55</v>
      </c>
      <c r="AA116" s="116">
        <v>58.3</v>
      </c>
      <c r="AB116" s="116">
        <v>73</v>
      </c>
      <c r="AC116" s="116">
        <v>73</v>
      </c>
      <c r="AD116" s="116">
        <v>75</v>
      </c>
      <c r="AE116" s="116">
        <v>76</v>
      </c>
      <c r="AF116" s="116">
        <v>-3</v>
      </c>
      <c r="AG116" s="117"/>
      <c r="AH116" s="47">
        <f t="shared" si="10"/>
        <v>81.5</v>
      </c>
      <c r="AI116" s="48">
        <f t="shared" si="11"/>
        <v>-3</v>
      </c>
    </row>
    <row r="117" spans="1:37" x14ac:dyDescent="0.25">
      <c r="A117" s="115" t="s">
        <v>125</v>
      </c>
      <c r="B117" s="116">
        <v>-6.4</v>
      </c>
      <c r="C117" s="116">
        <v>-5.0999999999999996</v>
      </c>
      <c r="D117" s="116">
        <v>-4</v>
      </c>
      <c r="E117" s="116">
        <v>-0.9</v>
      </c>
      <c r="F117" s="116">
        <v>6.4</v>
      </c>
      <c r="G117" s="116">
        <v>3.3</v>
      </c>
      <c r="H117" s="116">
        <v>-8.6</v>
      </c>
      <c r="I117" s="116">
        <v>-8.6</v>
      </c>
      <c r="J117" s="116">
        <v>-6.6</v>
      </c>
      <c r="K117" s="116">
        <v>-3.9</v>
      </c>
      <c r="L117" s="116">
        <v>-10.5</v>
      </c>
      <c r="M117" s="116">
        <v>-11.3</v>
      </c>
      <c r="N117" s="116"/>
      <c r="O117" s="116">
        <v>-10.3</v>
      </c>
      <c r="P117" s="116">
        <v>2.7</v>
      </c>
      <c r="Q117" s="116">
        <v>-7.6</v>
      </c>
      <c r="R117" s="116">
        <v>-7.6</v>
      </c>
      <c r="S117" s="116">
        <v>-7.6</v>
      </c>
      <c r="T117" s="116">
        <v>-3.3</v>
      </c>
      <c r="U117" s="116">
        <v>-3.3</v>
      </c>
      <c r="V117" s="116">
        <v>-10.9</v>
      </c>
      <c r="W117" s="116">
        <v>-13.1</v>
      </c>
      <c r="X117" s="116">
        <v>-11.9</v>
      </c>
      <c r="Y117" s="116">
        <v>3.3</v>
      </c>
      <c r="Z117" s="116">
        <v>3.9</v>
      </c>
      <c r="AA117" s="116">
        <v>5.3</v>
      </c>
      <c r="AB117" s="116">
        <v>1</v>
      </c>
      <c r="AC117" s="116">
        <v>1</v>
      </c>
      <c r="AD117" s="116">
        <v>8</v>
      </c>
      <c r="AE117" s="116">
        <v>9</v>
      </c>
      <c r="AF117" s="116">
        <v>13</v>
      </c>
      <c r="AG117" s="118"/>
      <c r="AH117" s="47">
        <f t="shared" si="10"/>
        <v>13</v>
      </c>
      <c r="AI117" s="48">
        <f t="shared" si="11"/>
        <v>-13.1</v>
      </c>
    </row>
    <row r="118" spans="1:37" x14ac:dyDescent="0.25">
      <c r="A118" s="119" t="s">
        <v>126</v>
      </c>
      <c r="B118" s="105">
        <v>51.9</v>
      </c>
      <c r="C118" s="105">
        <v>54</v>
      </c>
      <c r="D118" s="105">
        <v>58</v>
      </c>
      <c r="E118" s="105">
        <v>61.8</v>
      </c>
      <c r="F118" s="105">
        <v>63</v>
      </c>
      <c r="G118" s="105">
        <v>62</v>
      </c>
      <c r="H118" s="105"/>
      <c r="I118" s="105"/>
      <c r="J118" s="105">
        <v>62.5</v>
      </c>
      <c r="K118" s="105">
        <v>62.52</v>
      </c>
      <c r="L118" s="105">
        <v>66.3</v>
      </c>
      <c r="M118" s="105">
        <v>68.099999999999994</v>
      </c>
      <c r="N118" s="105"/>
      <c r="O118" s="105">
        <v>66.2</v>
      </c>
      <c r="P118" s="105">
        <v>56</v>
      </c>
      <c r="Q118" s="105">
        <v>60.9</v>
      </c>
      <c r="R118" s="105">
        <v>60.9</v>
      </c>
      <c r="S118" s="105">
        <v>60.9</v>
      </c>
      <c r="T118" s="105">
        <v>62.4</v>
      </c>
      <c r="U118" s="105">
        <v>62.4</v>
      </c>
      <c r="V118" s="105">
        <v>54.3</v>
      </c>
      <c r="W118" s="105">
        <v>53.2</v>
      </c>
      <c r="X118" s="105">
        <v>42.8</v>
      </c>
      <c r="Y118" s="105">
        <v>40.799999999999997</v>
      </c>
      <c r="Z118" s="105">
        <v>41.9</v>
      </c>
      <c r="AA118" s="105">
        <v>49.1</v>
      </c>
      <c r="AB118" s="105">
        <v>53</v>
      </c>
      <c r="AC118" s="105">
        <v>53</v>
      </c>
      <c r="AD118" s="105">
        <v>60</v>
      </c>
      <c r="AE118" s="105">
        <v>62</v>
      </c>
      <c r="AF118" s="105">
        <v>52</v>
      </c>
      <c r="AG118" s="118"/>
      <c r="AH118" s="47">
        <f t="shared" si="10"/>
        <v>68.099999999999994</v>
      </c>
      <c r="AI118" s="48">
        <f t="shared" si="11"/>
        <v>40.799999999999997</v>
      </c>
    </row>
    <row r="119" spans="1:37" x14ac:dyDescent="0.25">
      <c r="A119" s="120" t="s">
        <v>127</v>
      </c>
      <c r="B119" s="105">
        <v>87.4</v>
      </c>
      <c r="C119" s="105">
        <v>84.8</v>
      </c>
      <c r="D119" s="105">
        <v>75</v>
      </c>
      <c r="E119" s="105">
        <v>78.099999999999994</v>
      </c>
      <c r="F119" s="105">
        <v>89</v>
      </c>
      <c r="G119" s="105">
        <v>79</v>
      </c>
      <c r="H119" s="105">
        <v>65.3</v>
      </c>
      <c r="I119" s="105">
        <v>65.3</v>
      </c>
      <c r="J119" s="105">
        <v>55</v>
      </c>
      <c r="K119" s="105">
        <v>42.2</v>
      </c>
      <c r="L119" s="105">
        <v>64.5</v>
      </c>
      <c r="M119" s="105">
        <v>60.2</v>
      </c>
      <c r="N119" s="105"/>
      <c r="O119" s="105">
        <v>62.6</v>
      </c>
      <c r="P119" s="105">
        <v>70.7</v>
      </c>
      <c r="Q119" s="105">
        <v>54.7</v>
      </c>
      <c r="R119" s="105">
        <v>54.7</v>
      </c>
      <c r="S119" s="105">
        <v>54.7</v>
      </c>
      <c r="T119" s="105">
        <v>54</v>
      </c>
      <c r="U119" s="105">
        <v>54</v>
      </c>
      <c r="V119" s="105">
        <v>41</v>
      </c>
      <c r="W119" s="105">
        <v>41</v>
      </c>
      <c r="X119" s="105">
        <v>39.299999999999997</v>
      </c>
      <c r="Y119" s="105">
        <v>47.1</v>
      </c>
      <c r="Z119" s="105">
        <v>58.9</v>
      </c>
      <c r="AA119" s="105">
        <v>55.9</v>
      </c>
      <c r="AB119" s="105">
        <v>47</v>
      </c>
      <c r="AC119" s="105">
        <v>47</v>
      </c>
      <c r="AD119" s="105">
        <v>50</v>
      </c>
      <c r="AE119" s="105">
        <v>52</v>
      </c>
      <c r="AF119" s="105">
        <v>42</v>
      </c>
      <c r="AG119" s="118"/>
      <c r="AH119" s="47">
        <f t="shared" si="10"/>
        <v>89</v>
      </c>
      <c r="AI119" s="48">
        <f t="shared" si="11"/>
        <v>39.299999999999997</v>
      </c>
    </row>
    <row r="120" spans="1:37" ht="15.75" thickBot="1" x14ac:dyDescent="0.3">
      <c r="A120" s="119" t="s">
        <v>128</v>
      </c>
      <c r="B120" s="105">
        <v>23.5</v>
      </c>
      <c r="C120" s="105">
        <v>19</v>
      </c>
      <c r="D120" s="105">
        <v>11</v>
      </c>
      <c r="E120" s="105">
        <v>8.6999999999999993</v>
      </c>
      <c r="F120" s="105">
        <v>8.5</v>
      </c>
      <c r="G120" s="105">
        <v>-1.9</v>
      </c>
      <c r="H120" s="105">
        <v>-16.3</v>
      </c>
      <c r="I120" s="105">
        <v>-16.3</v>
      </c>
      <c r="J120" s="105">
        <v>-18</v>
      </c>
      <c r="K120" s="105">
        <v>-15.8</v>
      </c>
      <c r="L120" s="105">
        <v>-12.5</v>
      </c>
      <c r="M120" s="105">
        <v>-16.600000000000001</v>
      </c>
      <c r="N120" s="105"/>
      <c r="O120" s="105">
        <v>-9.9</v>
      </c>
      <c r="P120" s="105">
        <v>-9</v>
      </c>
      <c r="Q120" s="105">
        <v>1.1000000000000001</v>
      </c>
      <c r="R120" s="105">
        <v>1.1000000000000001</v>
      </c>
      <c r="S120" s="105">
        <v>1.1000000000000001</v>
      </c>
      <c r="T120" s="105">
        <v>-5</v>
      </c>
      <c r="U120" s="105">
        <v>-5</v>
      </c>
      <c r="V120" s="105">
        <v>-13</v>
      </c>
      <c r="W120" s="105">
        <v>-13.1</v>
      </c>
      <c r="X120" s="105">
        <v>-0.9</v>
      </c>
      <c r="Y120" s="105">
        <v>13.7</v>
      </c>
      <c r="Z120" s="105">
        <v>9.8000000000000007</v>
      </c>
      <c r="AA120" s="105">
        <v>63.7</v>
      </c>
      <c r="AB120" s="105">
        <v>1</v>
      </c>
      <c r="AC120" s="105">
        <v>1</v>
      </c>
      <c r="AD120" s="105">
        <v>-8</v>
      </c>
      <c r="AE120" s="105">
        <v>-10</v>
      </c>
      <c r="AF120" s="105">
        <v>-5</v>
      </c>
      <c r="AG120" s="118"/>
      <c r="AH120" s="47">
        <f t="shared" si="10"/>
        <v>63.7</v>
      </c>
      <c r="AI120" s="48">
        <f t="shared" si="11"/>
        <v>-18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6">SUM(B122:B226)</f>
        <v>0</v>
      </c>
      <c r="C227" s="136">
        <f t="shared" si="26"/>
        <v>0</v>
      </c>
      <c r="D227" s="136">
        <f t="shared" si="26"/>
        <v>0</v>
      </c>
      <c r="E227" s="136">
        <f t="shared" si="26"/>
        <v>0</v>
      </c>
      <c r="F227" s="136">
        <f t="shared" si="26"/>
        <v>0</v>
      </c>
      <c r="G227" s="136">
        <f t="shared" si="26"/>
        <v>0</v>
      </c>
      <c r="H227" s="136">
        <f t="shared" si="26"/>
        <v>0</v>
      </c>
      <c r="I227" s="136">
        <f t="shared" si="26"/>
        <v>0</v>
      </c>
      <c r="J227" s="136">
        <f t="shared" si="26"/>
        <v>0</v>
      </c>
      <c r="K227" s="136">
        <f t="shared" si="26"/>
        <v>0</v>
      </c>
      <c r="L227" s="136">
        <f t="shared" si="26"/>
        <v>0</v>
      </c>
      <c r="M227" s="136">
        <f t="shared" si="26"/>
        <v>0</v>
      </c>
      <c r="N227" s="136">
        <f t="shared" si="26"/>
        <v>0</v>
      </c>
      <c r="O227" s="136">
        <f t="shared" si="26"/>
        <v>0</v>
      </c>
      <c r="P227" s="136">
        <f t="shared" si="26"/>
        <v>0</v>
      </c>
      <c r="Q227" s="136">
        <f t="shared" si="26"/>
        <v>0</v>
      </c>
      <c r="R227" s="136">
        <f t="shared" si="26"/>
        <v>0</v>
      </c>
      <c r="S227" s="136">
        <f t="shared" si="26"/>
        <v>0</v>
      </c>
      <c r="T227" s="136">
        <f t="shared" si="26"/>
        <v>0</v>
      </c>
      <c r="U227" s="136">
        <f t="shared" si="26"/>
        <v>0</v>
      </c>
      <c r="V227" s="136">
        <f t="shared" si="26"/>
        <v>0</v>
      </c>
      <c r="W227" s="136">
        <f t="shared" si="26"/>
        <v>0</v>
      </c>
      <c r="X227" s="136">
        <f t="shared" si="26"/>
        <v>0</v>
      </c>
      <c r="Y227" s="136">
        <f t="shared" si="26"/>
        <v>0</v>
      </c>
      <c r="Z227" s="136">
        <f t="shared" si="26"/>
        <v>0</v>
      </c>
      <c r="AA227" s="136">
        <f t="shared" si="26"/>
        <v>0</v>
      </c>
      <c r="AB227" s="136">
        <f t="shared" si="26"/>
        <v>0</v>
      </c>
      <c r="AC227" s="136">
        <f t="shared" si="26"/>
        <v>0</v>
      </c>
      <c r="AD227" s="136">
        <f t="shared" si="26"/>
        <v>0</v>
      </c>
      <c r="AE227" s="136">
        <f t="shared" si="26"/>
        <v>0</v>
      </c>
      <c r="AF227" s="137">
        <f t="shared" si="26"/>
        <v>0</v>
      </c>
      <c r="AG227" s="138">
        <f t="shared" si="26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7">AF229</f>
        <v>0</v>
      </c>
      <c r="C229" s="140">
        <v>0.3</v>
      </c>
      <c r="D229" s="140">
        <f t="shared" ref="D229:P234" si="28">C229</f>
        <v>0.3</v>
      </c>
      <c r="E229" s="140">
        <f t="shared" si="28"/>
        <v>0.3</v>
      </c>
      <c r="F229" s="140">
        <f t="shared" si="28"/>
        <v>0.3</v>
      </c>
      <c r="G229" s="140">
        <f t="shared" si="28"/>
        <v>0.3</v>
      </c>
      <c r="H229" s="140">
        <f t="shared" si="28"/>
        <v>0.3</v>
      </c>
      <c r="I229" s="140">
        <f t="shared" si="28"/>
        <v>0.3</v>
      </c>
      <c r="J229" s="140">
        <f t="shared" si="28"/>
        <v>0.3</v>
      </c>
      <c r="K229" s="140">
        <f t="shared" si="28"/>
        <v>0.3</v>
      </c>
      <c r="L229" s="140">
        <f t="shared" si="28"/>
        <v>0.3</v>
      </c>
      <c r="M229" s="140">
        <f t="shared" si="28"/>
        <v>0.3</v>
      </c>
      <c r="N229" s="140">
        <f t="shared" si="28"/>
        <v>0.3</v>
      </c>
      <c r="O229" s="140">
        <f t="shared" si="28"/>
        <v>0.3</v>
      </c>
      <c r="P229" s="140">
        <f t="shared" si="28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7"/>
        <v>0</v>
      </c>
      <c r="C230" s="128">
        <v>0.4</v>
      </c>
      <c r="D230" s="128">
        <f t="shared" si="28"/>
        <v>0.4</v>
      </c>
      <c r="E230" s="128">
        <f t="shared" si="28"/>
        <v>0.4</v>
      </c>
      <c r="F230" s="128">
        <f t="shared" si="28"/>
        <v>0.4</v>
      </c>
      <c r="G230" s="128">
        <f t="shared" si="28"/>
        <v>0.4</v>
      </c>
      <c r="H230" s="128">
        <f t="shared" si="28"/>
        <v>0.4</v>
      </c>
      <c r="I230" s="128">
        <f t="shared" si="28"/>
        <v>0.4</v>
      </c>
      <c r="J230" s="128">
        <f t="shared" si="28"/>
        <v>0.4</v>
      </c>
      <c r="K230" s="128">
        <f t="shared" si="28"/>
        <v>0.4</v>
      </c>
      <c r="L230" s="128">
        <f t="shared" si="28"/>
        <v>0.4</v>
      </c>
      <c r="M230" s="128">
        <f t="shared" si="28"/>
        <v>0.4</v>
      </c>
      <c r="N230" s="128">
        <f t="shared" si="28"/>
        <v>0.4</v>
      </c>
      <c r="O230" s="128">
        <f t="shared" si="28"/>
        <v>0.4</v>
      </c>
      <c r="P230" s="128">
        <f t="shared" si="28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7"/>
        <v>0</v>
      </c>
      <c r="C231" s="128">
        <v>1.5</v>
      </c>
      <c r="D231" s="128">
        <f t="shared" si="28"/>
        <v>1.5</v>
      </c>
      <c r="E231" s="128">
        <f t="shared" si="28"/>
        <v>1.5</v>
      </c>
      <c r="F231" s="128">
        <f t="shared" si="28"/>
        <v>1.5</v>
      </c>
      <c r="G231" s="128">
        <f t="shared" si="28"/>
        <v>1.5</v>
      </c>
      <c r="H231" s="128">
        <f t="shared" si="28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8"/>
        <v>123.21900000000009</v>
      </c>
      <c r="K231" s="128">
        <f t="shared" ca="1" si="28"/>
        <v>123.21900000000009</v>
      </c>
      <c r="L231" s="128">
        <f t="shared" ca="1" si="28"/>
        <v>123.21900000000009</v>
      </c>
      <c r="M231" s="128">
        <f t="shared" ca="1" si="28"/>
        <v>119.19900000000008</v>
      </c>
      <c r="N231" s="128">
        <f t="shared" ca="1" si="28"/>
        <v>119.19900000000008</v>
      </c>
      <c r="O231" s="128">
        <f t="shared" ca="1" si="28"/>
        <v>119.19900000000008</v>
      </c>
      <c r="P231" s="128">
        <f t="shared" ca="1" si="28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7"/>
        <v>0</v>
      </c>
      <c r="C232" s="128">
        <v>0.3</v>
      </c>
      <c r="D232" s="128">
        <f t="shared" si="28"/>
        <v>0.3</v>
      </c>
      <c r="E232" s="128">
        <f t="shared" si="28"/>
        <v>0.3</v>
      </c>
      <c r="F232" s="128">
        <f t="shared" si="28"/>
        <v>0.3</v>
      </c>
      <c r="G232" s="128">
        <f t="shared" si="28"/>
        <v>0.3</v>
      </c>
      <c r="H232" s="128">
        <f t="shared" si="28"/>
        <v>0.3</v>
      </c>
      <c r="I232" s="128">
        <f t="shared" si="28"/>
        <v>0.3</v>
      </c>
      <c r="J232" s="128">
        <f t="shared" si="28"/>
        <v>0.3</v>
      </c>
      <c r="K232" s="128">
        <f t="shared" si="28"/>
        <v>0.3</v>
      </c>
      <c r="L232" s="128">
        <f t="shared" si="28"/>
        <v>0.3</v>
      </c>
      <c r="M232" s="128">
        <f t="shared" si="28"/>
        <v>0.3</v>
      </c>
      <c r="N232" s="128">
        <f t="shared" si="28"/>
        <v>0.3</v>
      </c>
      <c r="O232" s="128">
        <f t="shared" si="28"/>
        <v>0.3</v>
      </c>
      <c r="P232" s="128">
        <f t="shared" si="28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7"/>
        <v>0</v>
      </c>
      <c r="C233" s="128">
        <v>0.4</v>
      </c>
      <c r="D233" s="128">
        <f t="shared" si="28"/>
        <v>0.4</v>
      </c>
      <c r="E233" s="128">
        <f t="shared" si="28"/>
        <v>0.4</v>
      </c>
      <c r="F233" s="128">
        <f t="shared" si="28"/>
        <v>0.4</v>
      </c>
      <c r="G233" s="128">
        <f t="shared" si="28"/>
        <v>0.4</v>
      </c>
      <c r="H233" s="128">
        <f t="shared" si="28"/>
        <v>0.4</v>
      </c>
      <c r="I233" s="128">
        <f t="shared" si="28"/>
        <v>0.4</v>
      </c>
      <c r="J233" s="128">
        <f t="shared" si="28"/>
        <v>0.4</v>
      </c>
      <c r="K233" s="128">
        <f t="shared" si="28"/>
        <v>0.4</v>
      </c>
      <c r="L233" s="128">
        <f t="shared" si="28"/>
        <v>0.4</v>
      </c>
      <c r="M233" s="128">
        <f t="shared" si="28"/>
        <v>0.4</v>
      </c>
      <c r="N233" s="128">
        <f t="shared" si="28"/>
        <v>0.4</v>
      </c>
      <c r="O233" s="128">
        <f t="shared" si="28"/>
        <v>0.4</v>
      </c>
      <c r="P233" s="128">
        <f t="shared" si="28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7"/>
        <v>0</v>
      </c>
      <c r="C234" s="132">
        <v>0.64</v>
      </c>
      <c r="D234" s="132">
        <f t="shared" si="28"/>
        <v>0.64</v>
      </c>
      <c r="E234" s="132">
        <f t="shared" si="28"/>
        <v>0.64</v>
      </c>
      <c r="F234" s="132">
        <f t="shared" si="28"/>
        <v>0.64</v>
      </c>
      <c r="G234" s="132">
        <f t="shared" si="28"/>
        <v>0.64</v>
      </c>
      <c r="H234" s="132">
        <f t="shared" si="28"/>
        <v>0.64</v>
      </c>
      <c r="I234" s="132">
        <f t="shared" si="28"/>
        <v>0.64</v>
      </c>
      <c r="J234" s="132">
        <f t="shared" si="28"/>
        <v>0.64</v>
      </c>
      <c r="K234" s="132">
        <f t="shared" si="28"/>
        <v>0.64</v>
      </c>
      <c r="L234" s="132">
        <f t="shared" si="28"/>
        <v>0.64</v>
      </c>
      <c r="M234" s="132">
        <f t="shared" si="28"/>
        <v>0.64</v>
      </c>
      <c r="N234" s="132">
        <f t="shared" si="28"/>
        <v>0.64</v>
      </c>
      <c r="O234" s="132">
        <f t="shared" si="28"/>
        <v>0.64</v>
      </c>
      <c r="P234" s="132">
        <f t="shared" si="28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9">SUM(B229:B234)</f>
        <v>0</v>
      </c>
      <c r="C235" s="136">
        <f t="shared" si="29"/>
        <v>3.54</v>
      </c>
      <c r="D235" s="136">
        <f t="shared" si="29"/>
        <v>3.54</v>
      </c>
      <c r="E235" s="136">
        <f t="shared" si="29"/>
        <v>3.54</v>
      </c>
      <c r="F235" s="136">
        <f t="shared" si="29"/>
        <v>3.54</v>
      </c>
      <c r="G235" s="136">
        <f t="shared" si="29"/>
        <v>3.54</v>
      </c>
      <c r="H235" s="136">
        <f t="shared" si="29"/>
        <v>3.54</v>
      </c>
      <c r="I235" s="136">
        <f t="shared" ca="1" si="29"/>
        <v>121.23900000000009</v>
      </c>
      <c r="J235" s="136">
        <f t="shared" ca="1" si="29"/>
        <v>121.23900000000009</v>
      </c>
      <c r="K235" s="136">
        <f t="shared" ca="1" si="29"/>
        <v>121.23900000000009</v>
      </c>
      <c r="L235" s="136">
        <f t="shared" ca="1" si="29"/>
        <v>125.2590000000001</v>
      </c>
      <c r="M235" s="136">
        <f t="shared" ca="1" si="29"/>
        <v>121.23900000000009</v>
      </c>
      <c r="N235" s="136">
        <f t="shared" ca="1" si="29"/>
        <v>121.23900000000009</v>
      </c>
      <c r="O235" s="136">
        <f t="shared" ca="1" si="29"/>
        <v>121.23900000000009</v>
      </c>
      <c r="P235" s="136">
        <f t="shared" ca="1" si="29"/>
        <v>121.23900000000009</v>
      </c>
      <c r="Q235" s="136">
        <f t="shared" si="29"/>
        <v>0</v>
      </c>
      <c r="R235" s="136">
        <f t="shared" si="29"/>
        <v>0</v>
      </c>
      <c r="S235" s="136">
        <f t="shared" si="29"/>
        <v>0</v>
      </c>
      <c r="T235" s="136">
        <f t="shared" si="29"/>
        <v>0</v>
      </c>
      <c r="U235" s="136">
        <f t="shared" si="29"/>
        <v>0</v>
      </c>
      <c r="V235" s="136">
        <f t="shared" si="29"/>
        <v>0</v>
      </c>
      <c r="W235" s="136">
        <f t="shared" si="29"/>
        <v>0</v>
      </c>
      <c r="X235" s="136">
        <f t="shared" si="29"/>
        <v>0</v>
      </c>
      <c r="Y235" s="136">
        <f t="shared" si="29"/>
        <v>0</v>
      </c>
      <c r="Z235" s="136">
        <f t="shared" si="29"/>
        <v>0</v>
      </c>
      <c r="AA235" s="136">
        <f t="shared" si="29"/>
        <v>0</v>
      </c>
      <c r="AB235" s="136">
        <f t="shared" si="29"/>
        <v>0</v>
      </c>
      <c r="AC235" s="136">
        <f t="shared" si="29"/>
        <v>0</v>
      </c>
      <c r="AD235" s="136">
        <f t="shared" si="29"/>
        <v>0</v>
      </c>
      <c r="AE235" s="136">
        <f t="shared" si="29"/>
        <v>0</v>
      </c>
      <c r="AF235" s="136">
        <f t="shared" si="29"/>
        <v>0</v>
      </c>
      <c r="AG235" s="145">
        <f t="shared" si="29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2546.1400000000003</v>
      </c>
      <c r="C244" s="161">
        <f>INDEX(G9:N9,1,MATCH(MAX(G91:N91),G91:N91,0))</f>
        <v>0.29166666666666669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04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2080/05/4)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2080/05/4)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0">B91</f>
        <v>2070.84</v>
      </c>
      <c r="U249" s="170">
        <f t="shared" si="30"/>
        <v>2063.04</v>
      </c>
      <c r="V249" s="170">
        <f t="shared" si="30"/>
        <v>2076.54</v>
      </c>
      <c r="W249" s="170">
        <f t="shared" si="30"/>
        <v>1998.4399999999998</v>
      </c>
      <c r="X249" s="170">
        <f t="shared" si="30"/>
        <v>1999.1399999999999</v>
      </c>
      <c r="Y249" s="170">
        <f t="shared" si="30"/>
        <v>1994.2399999999998</v>
      </c>
      <c r="Z249" s="170">
        <f t="shared" si="30"/>
        <v>2007.4399999999998</v>
      </c>
      <c r="AA249" s="170">
        <f t="shared" si="30"/>
        <v>2007.4399999999998</v>
      </c>
      <c r="AB249" s="170">
        <f t="shared" si="30"/>
        <v>2041.74</v>
      </c>
      <c r="AC249" s="170">
        <f t="shared" si="30"/>
        <v>2546.1400000000003</v>
      </c>
      <c r="AD249" s="170">
        <f t="shared" si="30"/>
        <v>2038.14</v>
      </c>
      <c r="AE249" s="170">
        <f t="shared" si="30"/>
        <v>2025.14</v>
      </c>
      <c r="AF249" s="170">
        <f t="shared" si="30"/>
        <v>2064.14</v>
      </c>
      <c r="AG249" s="170">
        <f t="shared" si="30"/>
        <v>2090.44</v>
      </c>
      <c r="AH249" s="170">
        <f t="shared" si="30"/>
        <v>2098.7400000000002</v>
      </c>
      <c r="AI249" s="170">
        <f t="shared" si="30"/>
        <v>2041.94</v>
      </c>
      <c r="AJ249" s="170">
        <f t="shared" si="30"/>
        <v>2041.94</v>
      </c>
      <c r="AK249" s="170">
        <f t="shared" si="30"/>
        <v>2074.2399999999998</v>
      </c>
      <c r="AL249" s="170">
        <f t="shared" si="30"/>
        <v>2084.1400000000003</v>
      </c>
      <c r="AM249" s="170">
        <f t="shared" si="30"/>
        <v>2069.7400000000002</v>
      </c>
      <c r="AN249" s="170">
        <f t="shared" si="30"/>
        <v>2055.7400000000002</v>
      </c>
      <c r="AO249" s="170">
        <f t="shared" si="30"/>
        <v>2025.14</v>
      </c>
      <c r="AP249" s="170">
        <f t="shared" si="30"/>
        <v>2066.54</v>
      </c>
      <c r="AQ249" s="170">
        <f t="shared" si="30"/>
        <v>2151.54</v>
      </c>
      <c r="AR249" s="170">
        <f t="shared" si="30"/>
        <v>2202.7400000000002</v>
      </c>
      <c r="AS249" s="170">
        <f t="shared" si="30"/>
        <v>2177.34</v>
      </c>
      <c r="AT249" s="170">
        <f t="shared" si="30"/>
        <v>2154.64</v>
      </c>
      <c r="AU249" s="170">
        <f t="shared" si="30"/>
        <v>2113.64</v>
      </c>
      <c r="AV249" s="170">
        <f t="shared" si="30"/>
        <v>2110.64</v>
      </c>
      <c r="AW249" s="170">
        <f t="shared" si="30"/>
        <v>2018.14</v>
      </c>
      <c r="AX249" s="170">
        <f t="shared" si="30"/>
        <v>1970.44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1">C234</f>
        <v>0.64</v>
      </c>
      <c r="C270" s="173">
        <f t="shared" si="31"/>
        <v>0.64</v>
      </c>
      <c r="D270" s="173">
        <f t="shared" si="31"/>
        <v>0.64</v>
      </c>
      <c r="E270" s="173">
        <f t="shared" si="31"/>
        <v>0.64</v>
      </c>
      <c r="F270" s="173">
        <f t="shared" si="31"/>
        <v>0.64</v>
      </c>
      <c r="G270" s="173">
        <f t="shared" si="31"/>
        <v>0.64</v>
      </c>
      <c r="H270" s="173">
        <f t="shared" si="31"/>
        <v>0.64</v>
      </c>
      <c r="I270" s="173">
        <f t="shared" si="31"/>
        <v>0.64</v>
      </c>
      <c r="J270" s="173">
        <f t="shared" si="31"/>
        <v>0.64</v>
      </c>
      <c r="K270" s="173">
        <f t="shared" si="31"/>
        <v>0.64</v>
      </c>
      <c r="L270" s="173">
        <f t="shared" si="31"/>
        <v>0.64</v>
      </c>
      <c r="M270" s="173">
        <f t="shared" si="31"/>
        <v>0.64</v>
      </c>
      <c r="N270" s="173">
        <f t="shared" si="31"/>
        <v>0.64</v>
      </c>
      <c r="O270" s="173">
        <f t="shared" si="31"/>
        <v>0.64</v>
      </c>
      <c r="P270" s="173">
        <f t="shared" si="31"/>
        <v>0</v>
      </c>
      <c r="Q270" s="173">
        <f t="shared" si="31"/>
        <v>0</v>
      </c>
      <c r="R270" s="173">
        <f t="shared" si="31"/>
        <v>0</v>
      </c>
      <c r="S270" s="173">
        <f t="shared" si="31"/>
        <v>0</v>
      </c>
      <c r="T270" s="173">
        <f t="shared" si="31"/>
        <v>0</v>
      </c>
      <c r="U270" s="173">
        <f t="shared" si="31"/>
        <v>0</v>
      </c>
      <c r="V270" s="173">
        <f t="shared" si="31"/>
        <v>0</v>
      </c>
      <c r="W270" s="173">
        <f t="shared" si="31"/>
        <v>0</v>
      </c>
      <c r="X270" s="173">
        <f t="shared" si="31"/>
        <v>0</v>
      </c>
      <c r="Y270" s="173">
        <f t="shared" si="31"/>
        <v>0</v>
      </c>
      <c r="Z270" s="173">
        <f t="shared" si="31"/>
        <v>0</v>
      </c>
      <c r="AA270" s="173">
        <f t="shared" si="31"/>
        <v>0</v>
      </c>
      <c r="AB270" s="173">
        <f t="shared" si="31"/>
        <v>0</v>
      </c>
      <c r="AC270" s="173">
        <f t="shared" si="31"/>
        <v>0</v>
      </c>
      <c r="AD270" s="173">
        <f t="shared" si="31"/>
        <v>0</v>
      </c>
      <c r="AE270" s="173">
        <f t="shared" si="31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2">IF(B238&lt;100,"",B238-520)</f>
        <v/>
      </c>
      <c r="C271" s="174" t="str">
        <f t="shared" si="32"/>
        <v/>
      </c>
      <c r="D271" s="174" t="str">
        <f t="shared" si="32"/>
        <v/>
      </c>
      <c r="E271" s="174" t="str">
        <f t="shared" si="32"/>
        <v/>
      </c>
      <c r="F271" s="174" t="str">
        <f t="shared" si="32"/>
        <v/>
      </c>
      <c r="G271" s="174" t="str">
        <f t="shared" si="32"/>
        <v/>
      </c>
      <c r="H271" s="174" t="str">
        <f t="shared" si="32"/>
        <v/>
      </c>
      <c r="I271" s="174" t="str">
        <f t="shared" si="32"/>
        <v/>
      </c>
      <c r="J271" s="174" t="str">
        <f t="shared" si="32"/>
        <v/>
      </c>
      <c r="K271" s="174" t="str">
        <f t="shared" si="32"/>
        <v/>
      </c>
      <c r="L271" s="174" t="str">
        <f t="shared" si="32"/>
        <v/>
      </c>
      <c r="M271" s="174" t="str">
        <f t="shared" si="32"/>
        <v/>
      </c>
      <c r="N271" s="174" t="str">
        <f t="shared" si="32"/>
        <v/>
      </c>
      <c r="O271" s="174" t="str">
        <f t="shared" si="32"/>
        <v/>
      </c>
      <c r="P271" s="174" t="str">
        <f t="shared" si="32"/>
        <v/>
      </c>
      <c r="Q271" s="174" t="str">
        <f t="shared" si="32"/>
        <v/>
      </c>
      <c r="R271" s="174" t="str">
        <f t="shared" si="32"/>
        <v/>
      </c>
      <c r="S271" s="174" t="str">
        <f t="shared" si="32"/>
        <v/>
      </c>
      <c r="T271" s="174" t="str">
        <f t="shared" si="32"/>
        <v/>
      </c>
      <c r="U271" s="174" t="str">
        <f t="shared" si="32"/>
        <v/>
      </c>
      <c r="V271" s="174" t="str">
        <f t="shared" si="32"/>
        <v/>
      </c>
      <c r="W271" s="174" t="str">
        <f t="shared" si="32"/>
        <v/>
      </c>
      <c r="X271" s="174" t="str">
        <f t="shared" si="32"/>
        <v/>
      </c>
      <c r="Y271" s="174" t="str">
        <f t="shared" si="32"/>
        <v/>
      </c>
      <c r="Z271" s="174" t="str">
        <f t="shared" si="32"/>
        <v/>
      </c>
      <c r="AA271" s="174" t="str">
        <f t="shared" si="32"/>
        <v/>
      </c>
      <c r="AB271" s="174" t="str">
        <f t="shared" si="32"/>
        <v/>
      </c>
      <c r="AC271" s="174" t="str">
        <f t="shared" si="32"/>
        <v/>
      </c>
      <c r="AD271" s="174" t="str">
        <f t="shared" si="32"/>
        <v/>
      </c>
      <c r="AE271" s="174" t="str">
        <f t="shared" si="32"/>
        <v/>
      </c>
      <c r="AF271" s="174" t="str">
        <f t="shared" si="32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3">IF(B239&lt;100,"",B239-620)</f>
        <v/>
      </c>
      <c r="C272" s="174" t="str">
        <f t="shared" si="33"/>
        <v/>
      </c>
      <c r="D272" s="174" t="str">
        <f t="shared" si="33"/>
        <v/>
      </c>
      <c r="E272" s="174" t="str">
        <f t="shared" si="33"/>
        <v/>
      </c>
      <c r="F272" s="174" t="str">
        <f t="shared" si="33"/>
        <v/>
      </c>
      <c r="G272" s="174" t="str">
        <f t="shared" si="33"/>
        <v/>
      </c>
      <c r="H272" s="174" t="str">
        <f t="shared" si="33"/>
        <v/>
      </c>
      <c r="I272" s="174" t="str">
        <f t="shared" si="33"/>
        <v/>
      </c>
      <c r="J272" s="174" t="str">
        <f t="shared" si="33"/>
        <v/>
      </c>
      <c r="K272" s="174" t="str">
        <f t="shared" si="33"/>
        <v/>
      </c>
      <c r="L272" s="174" t="str">
        <f t="shared" si="33"/>
        <v/>
      </c>
      <c r="M272" s="174" t="str">
        <f t="shared" si="33"/>
        <v/>
      </c>
      <c r="N272" s="174" t="str">
        <f t="shared" si="33"/>
        <v/>
      </c>
      <c r="O272" s="174" t="str">
        <f t="shared" si="33"/>
        <v/>
      </c>
      <c r="P272" s="174" t="str">
        <f t="shared" si="33"/>
        <v/>
      </c>
      <c r="Q272" s="174" t="str">
        <f t="shared" si="33"/>
        <v/>
      </c>
      <c r="R272" s="174" t="str">
        <f t="shared" si="33"/>
        <v/>
      </c>
      <c r="S272" s="174" t="str">
        <f t="shared" si="33"/>
        <v/>
      </c>
      <c r="T272" s="174" t="str">
        <f t="shared" si="33"/>
        <v/>
      </c>
      <c r="U272" s="174" t="str">
        <f t="shared" si="33"/>
        <v/>
      </c>
      <c r="V272" s="174" t="str">
        <f t="shared" si="33"/>
        <v/>
      </c>
      <c r="W272" s="174" t="str">
        <f t="shared" si="33"/>
        <v/>
      </c>
      <c r="X272" s="174" t="str">
        <f t="shared" si="33"/>
        <v/>
      </c>
      <c r="Y272" s="174" t="str">
        <f t="shared" si="33"/>
        <v/>
      </c>
      <c r="Z272" s="174" t="str">
        <f t="shared" si="33"/>
        <v/>
      </c>
      <c r="AA272" s="174" t="str">
        <f t="shared" si="33"/>
        <v/>
      </c>
      <c r="AB272" s="174" t="str">
        <f t="shared" si="33"/>
        <v/>
      </c>
      <c r="AC272" s="174" t="str">
        <f t="shared" si="33"/>
        <v/>
      </c>
      <c r="AD272" s="174" t="str">
        <f t="shared" si="33"/>
        <v/>
      </c>
      <c r="AE272" s="174" t="str">
        <f t="shared" si="33"/>
        <v/>
      </c>
      <c r="AF272" s="174" t="str">
        <f t="shared" si="33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4">IF(B240&lt;100,"",B240-330)</f>
        <v/>
      </c>
      <c r="C273" s="174" t="str">
        <f t="shared" si="34"/>
        <v/>
      </c>
      <c r="D273" s="174" t="str">
        <f t="shared" si="34"/>
        <v/>
      </c>
      <c r="E273" s="174" t="str">
        <f t="shared" si="34"/>
        <v/>
      </c>
      <c r="F273" s="174" t="str">
        <f t="shared" si="34"/>
        <v/>
      </c>
      <c r="G273" s="174" t="str">
        <f t="shared" si="34"/>
        <v/>
      </c>
      <c r="H273" s="174" t="str">
        <f t="shared" si="34"/>
        <v/>
      </c>
      <c r="I273" s="174" t="str">
        <f t="shared" si="34"/>
        <v/>
      </c>
      <c r="J273" s="174" t="str">
        <f t="shared" si="34"/>
        <v/>
      </c>
      <c r="K273" s="174" t="str">
        <f t="shared" si="34"/>
        <v/>
      </c>
      <c r="L273" s="174" t="str">
        <f t="shared" si="34"/>
        <v/>
      </c>
      <c r="M273" s="174" t="str">
        <f t="shared" si="34"/>
        <v/>
      </c>
      <c r="N273" s="174" t="str">
        <f t="shared" si="34"/>
        <v/>
      </c>
      <c r="O273" s="174" t="str">
        <f t="shared" si="34"/>
        <v/>
      </c>
      <c r="P273" s="174" t="str">
        <f t="shared" si="34"/>
        <v/>
      </c>
      <c r="Q273" s="174" t="str">
        <f t="shared" si="34"/>
        <v/>
      </c>
      <c r="R273" s="174" t="str">
        <f t="shared" si="34"/>
        <v/>
      </c>
      <c r="S273" s="174" t="str">
        <f t="shared" si="34"/>
        <v/>
      </c>
      <c r="T273" s="174" t="str">
        <f t="shared" si="34"/>
        <v/>
      </c>
      <c r="U273" s="174" t="str">
        <f t="shared" si="34"/>
        <v/>
      </c>
      <c r="V273" s="174" t="str">
        <f t="shared" si="34"/>
        <v/>
      </c>
      <c r="W273" s="174" t="str">
        <f t="shared" si="34"/>
        <v/>
      </c>
      <c r="X273" s="174" t="str">
        <f t="shared" si="34"/>
        <v/>
      </c>
      <c r="Y273" s="174" t="str">
        <f t="shared" si="34"/>
        <v/>
      </c>
      <c r="Z273" s="174" t="str">
        <f t="shared" si="34"/>
        <v/>
      </c>
      <c r="AA273" s="174" t="str">
        <f t="shared" si="34"/>
        <v/>
      </c>
      <c r="AB273" s="174" t="str">
        <f t="shared" si="34"/>
        <v/>
      </c>
      <c r="AC273" s="174" t="str">
        <f t="shared" si="34"/>
        <v/>
      </c>
      <c r="AD273" s="174" t="str">
        <f t="shared" si="34"/>
        <v/>
      </c>
      <c r="AE273" s="174" t="str">
        <f t="shared" si="34"/>
        <v/>
      </c>
      <c r="AF273" s="174" t="str">
        <f t="shared" si="34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5">IF(B241&lt;100,"",B241-1500)</f>
        <v/>
      </c>
      <c r="C274" s="174" t="str">
        <f t="shared" si="35"/>
        <v/>
      </c>
      <c r="D274" s="174" t="str">
        <f t="shared" si="35"/>
        <v/>
      </c>
      <c r="E274" s="174" t="str">
        <f t="shared" si="35"/>
        <v/>
      </c>
      <c r="F274" s="174" t="str">
        <f t="shared" si="35"/>
        <v/>
      </c>
      <c r="G274" s="174" t="str">
        <f t="shared" si="35"/>
        <v/>
      </c>
      <c r="H274" s="174" t="str">
        <f t="shared" si="35"/>
        <v/>
      </c>
      <c r="I274" s="174" t="str">
        <f t="shared" si="35"/>
        <v/>
      </c>
      <c r="J274" s="174" t="str">
        <f t="shared" si="35"/>
        <v/>
      </c>
      <c r="K274" s="174" t="str">
        <f t="shared" si="35"/>
        <v/>
      </c>
      <c r="L274" s="174" t="str">
        <f t="shared" si="35"/>
        <v/>
      </c>
      <c r="M274" s="174" t="str">
        <f t="shared" si="35"/>
        <v/>
      </c>
      <c r="N274" s="174" t="str">
        <f t="shared" si="35"/>
        <v/>
      </c>
      <c r="O274" s="174" t="str">
        <f t="shared" si="35"/>
        <v/>
      </c>
      <c r="P274" s="174" t="str">
        <f t="shared" si="35"/>
        <v/>
      </c>
      <c r="Q274" s="174" t="str">
        <f t="shared" si="35"/>
        <v/>
      </c>
      <c r="R274" s="174" t="str">
        <f t="shared" si="35"/>
        <v/>
      </c>
      <c r="S274" s="174" t="str">
        <f t="shared" si="35"/>
        <v/>
      </c>
      <c r="T274" s="174" t="str">
        <f t="shared" si="35"/>
        <v/>
      </c>
      <c r="U274" s="174" t="str">
        <f t="shared" si="35"/>
        <v/>
      </c>
      <c r="V274" s="174" t="str">
        <f t="shared" si="35"/>
        <v/>
      </c>
      <c r="W274" s="174" t="str">
        <f t="shared" si="35"/>
        <v/>
      </c>
      <c r="X274" s="174" t="str">
        <f t="shared" si="35"/>
        <v/>
      </c>
      <c r="Y274" s="174" t="str">
        <f t="shared" si="35"/>
        <v/>
      </c>
      <c r="Z274" s="174" t="str">
        <f t="shared" si="35"/>
        <v/>
      </c>
      <c r="AA274" s="174" t="str">
        <f t="shared" si="35"/>
        <v/>
      </c>
      <c r="AB274" s="174" t="str">
        <f t="shared" si="35"/>
        <v/>
      </c>
      <c r="AC274" s="174" t="str">
        <f t="shared" si="35"/>
        <v/>
      </c>
      <c r="AD274" s="174" t="str">
        <f t="shared" si="35"/>
        <v/>
      </c>
      <c r="AE274" s="174" t="str">
        <f t="shared" si="35"/>
        <v/>
      </c>
      <c r="AF274" s="174" t="str">
        <f t="shared" si="35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487" priority="64">
      <formula>$AH11=0</formula>
    </cfRule>
  </conditionalFormatting>
  <conditionalFormatting sqref="B8 M8 S8 AB8">
    <cfRule type="expression" dxfId="3486" priority="115">
      <formula>AND(C$9&gt;=14/24,C$9&lt;20/24)</formula>
    </cfRule>
    <cfRule type="expression" dxfId="3485" priority="116">
      <formula>AND(C$9&gt;=8/24,C$9&lt;14/24)</formula>
    </cfRule>
    <cfRule type="expression" dxfId="3484" priority="117">
      <formula>C$9&lt;8/24</formula>
    </cfRule>
  </conditionalFormatting>
  <conditionalFormatting sqref="B54:C54">
    <cfRule type="expression" dxfId="3483" priority="38">
      <formula>B$9&gt;=20/24</formula>
    </cfRule>
    <cfRule type="expression" dxfId="3482" priority="39">
      <formula>AND(B$9&gt;=14/24,B$9&lt;20/24)</formula>
    </cfRule>
    <cfRule type="expression" dxfId="3481" priority="40">
      <formula>AND(B$9&gt;=8/24,B$9&lt;14/24)</formula>
    </cfRule>
    <cfRule type="expression" dxfId="3480" priority="41">
      <formula>B$9&lt;8/24</formula>
    </cfRule>
  </conditionalFormatting>
  <conditionalFormatting sqref="B54:C66 C61:L61 D55:M66 N62:O66">
    <cfRule type="expression" dxfId="3479" priority="33">
      <formula>B54&gt;$AG54</formula>
    </cfRule>
  </conditionalFormatting>
  <conditionalFormatting sqref="B55:M59">
    <cfRule type="expression" dxfId="3478" priority="60">
      <formula>B$9&gt;=20/24</formula>
    </cfRule>
    <cfRule type="expression" dxfId="3477" priority="61">
      <formula>AND(B$9&gt;=14/24,B$9&lt;20/24)</formula>
    </cfRule>
    <cfRule type="expression" dxfId="3476" priority="62">
      <formula>AND(B$9&gt;=8/24,B$9&lt;14/24)</formula>
    </cfRule>
    <cfRule type="expression" dxfId="3475" priority="63">
      <formula>B$9&lt;8/24</formula>
    </cfRule>
  </conditionalFormatting>
  <conditionalFormatting sqref="B60:Y60">
    <cfRule type="expression" dxfId="3474" priority="51">
      <formula>B$9&gt;=20/24</formula>
    </cfRule>
    <cfRule type="expression" dxfId="3473" priority="52">
      <formula>AND(B$9&gt;=14/24,B$9&lt;20/24)</formula>
    </cfRule>
    <cfRule type="expression" dxfId="3472" priority="53">
      <formula>AND(B$9&gt;=8/24,B$9&lt;14/24)</formula>
    </cfRule>
    <cfRule type="expression" dxfId="3471" priority="54">
      <formula>B$9&lt;8/24</formula>
    </cfRule>
  </conditionalFormatting>
  <conditionalFormatting sqref="B61:AF66">
    <cfRule type="expression" dxfId="3470" priority="34">
      <formula>B$9&gt;=20/24</formula>
    </cfRule>
    <cfRule type="expression" dxfId="3469" priority="35">
      <formula>AND(B$9&gt;=14/24,B$9&lt;20/24)</formula>
    </cfRule>
    <cfRule type="expression" dxfId="3468" priority="36">
      <formula>AND(B$9&gt;=8/24,B$9&lt;14/24)</formula>
    </cfRule>
    <cfRule type="expression" dxfId="3467" priority="37">
      <formula>B$9&lt;8/24</formula>
    </cfRule>
  </conditionalFormatting>
  <conditionalFormatting sqref="B9:AF45">
    <cfRule type="expression" dxfId="3466" priority="23">
      <formula>B$9&gt;=20/24</formula>
    </cfRule>
    <cfRule type="expression" dxfId="3465" priority="24">
      <formula>AND(B$9&gt;=14/24,B$9&lt;20/24)</formula>
    </cfRule>
    <cfRule type="expression" dxfId="3464" priority="25">
      <formula>AND(B$9&gt;=8/24,B$9&lt;14/24)</formula>
    </cfRule>
    <cfRule type="expression" dxfId="3463" priority="26">
      <formula>B$9&lt;8/24</formula>
    </cfRule>
  </conditionalFormatting>
  <conditionalFormatting sqref="B11:AF46">
    <cfRule type="expression" dxfId="3462" priority="22">
      <formula>B11&gt;$AG11</formula>
    </cfRule>
  </conditionalFormatting>
  <conditionalFormatting sqref="B46:AF46">
    <cfRule type="expression" dxfId="3461" priority="18">
      <formula>B$9&gt;=20/24</formula>
    </cfRule>
    <cfRule type="expression" dxfId="3460" priority="19">
      <formula>AND(B$9&gt;=14/24,B$9&lt;20/24)</formula>
    </cfRule>
    <cfRule type="expression" dxfId="3459" priority="20">
      <formula>AND(B$9&gt;=8/24,B$9&lt;14/24)</formula>
    </cfRule>
    <cfRule type="expression" dxfId="3458" priority="21">
      <formula>B$9&lt;8/24</formula>
    </cfRule>
  </conditionalFormatting>
  <conditionalFormatting sqref="B47:AF47">
    <cfRule type="expression" dxfId="3457" priority="32">
      <formula>B47&gt;$AG47</formula>
    </cfRule>
  </conditionalFormatting>
  <conditionalFormatting sqref="B47:AF49">
    <cfRule type="expression" dxfId="3456" priority="28">
      <formula>B$9&gt;=20/24</formula>
    </cfRule>
    <cfRule type="expression" dxfId="3455" priority="29">
      <formula>AND(B$9&gt;=14/24,B$9&lt;20/24)</formula>
    </cfRule>
    <cfRule type="expression" dxfId="3454" priority="30">
      <formula>AND(B$9&gt;=8/24,B$9&lt;14/24)</formula>
    </cfRule>
    <cfRule type="expression" dxfId="3453" priority="31">
      <formula>B$9&lt;8/24</formula>
    </cfRule>
  </conditionalFormatting>
  <conditionalFormatting sqref="B48:AF53">
    <cfRule type="expression" dxfId="3452" priority="27">
      <formula>B48&gt;$AG48</formula>
    </cfRule>
  </conditionalFormatting>
  <conditionalFormatting sqref="B51:AF53">
    <cfRule type="expression" dxfId="3451" priority="47">
      <formula>B$9&gt;=20/24</formula>
    </cfRule>
    <cfRule type="expression" dxfId="3450" priority="48">
      <formula>AND(B$9&gt;=14/24,B$9&lt;20/24)</formula>
    </cfRule>
    <cfRule type="expression" dxfId="3449" priority="49">
      <formula>AND(B$9&gt;=8/24,B$9&lt;14/24)</formula>
    </cfRule>
    <cfRule type="expression" dxfId="3448" priority="50">
      <formula>B$9&lt;8/24</formula>
    </cfRule>
  </conditionalFormatting>
  <conditionalFormatting sqref="B69:AF71">
    <cfRule type="expression" dxfId="3447" priority="55">
      <formula>B69&gt;$AG69</formula>
    </cfRule>
    <cfRule type="expression" dxfId="3446" priority="56">
      <formula>B$9&gt;=20/24</formula>
    </cfRule>
    <cfRule type="expression" dxfId="3445" priority="57">
      <formula>AND(B$9&gt;=14/24,B$9&lt;20/24)</formula>
    </cfRule>
    <cfRule type="expression" dxfId="3444" priority="58">
      <formula>AND(B$9&gt;=8/24,B$9&lt;14/24)</formula>
    </cfRule>
    <cfRule type="expression" dxfId="3443" priority="59">
      <formula>B$9&lt;8/24</formula>
    </cfRule>
  </conditionalFormatting>
  <conditionalFormatting sqref="B73:AF91">
    <cfRule type="expression" dxfId="3442" priority="1">
      <formula>B$9&gt;=20/24</formula>
    </cfRule>
    <cfRule type="expression" dxfId="3441" priority="2">
      <formula>AND(B$9&gt;=14/24,B$9&lt;20/24)</formula>
    </cfRule>
    <cfRule type="expression" dxfId="3440" priority="3">
      <formula>AND(B$9&gt;=8/24,B$9&lt;14/24)</formula>
    </cfRule>
    <cfRule type="expression" dxfId="3439" priority="4">
      <formula>B$9&lt;8/24</formula>
    </cfRule>
  </conditionalFormatting>
  <conditionalFormatting sqref="B111:AF120">
    <cfRule type="expression" dxfId="3438" priority="14">
      <formula>B$9&gt;=20/24</formula>
    </cfRule>
    <cfRule type="expression" dxfId="3437" priority="15">
      <formula>AND(B$9&gt;=14/24,B$9&lt;20/24)</formula>
    </cfRule>
    <cfRule type="expression" dxfId="3436" priority="16">
      <formula>AND(B$9&gt;=8/24,B$9&lt;14/24)</formula>
    </cfRule>
    <cfRule type="expression" dxfId="3435" priority="17">
      <formula>B$9&lt;8/24</formula>
    </cfRule>
  </conditionalFormatting>
  <conditionalFormatting sqref="B227:AF227 D229:AF230 B229:B235 D231:H231 J231:AF231 D232:AF235 U248:AF248">
    <cfRule type="expression" dxfId="3434" priority="108">
      <formula>B$9&gt;=20/24</formula>
    </cfRule>
    <cfRule type="expression" dxfId="3433" priority="109">
      <formula>AND(B$9&gt;=14/24,B$9&lt;20/24)</formula>
    </cfRule>
    <cfRule type="expression" dxfId="3432" priority="110">
      <formula>AND(B$9&gt;=8/24,B$9&lt;14/24)</formula>
    </cfRule>
    <cfRule type="expression" dxfId="3431" priority="111">
      <formula>B$9&lt;8/24</formula>
    </cfRule>
  </conditionalFormatting>
  <conditionalFormatting sqref="B67:AG68 B72:AG72">
    <cfRule type="expression" dxfId="3430" priority="42">
      <formula>B67&gt;$AG67</formula>
    </cfRule>
  </conditionalFormatting>
  <conditionalFormatting sqref="B72:AG72 B93:AF109">
    <cfRule type="expression" dxfId="3429" priority="43">
      <formula>B$9&gt;=20/24</formula>
    </cfRule>
    <cfRule type="expression" dxfId="3428" priority="44">
      <formula>AND(B$9&gt;=14/24,B$9&lt;20/24)</formula>
    </cfRule>
    <cfRule type="expression" dxfId="3427" priority="45">
      <formula>AND(B$9&gt;=8/24,B$9&lt;14/24)</formula>
    </cfRule>
    <cfRule type="expression" dxfId="3426" priority="46">
      <formula>B$9&lt;8/24</formula>
    </cfRule>
  </conditionalFormatting>
  <conditionalFormatting sqref="N55:AF66">
    <cfRule type="expression" dxfId="3425" priority="5">
      <formula>N55&gt;$AG55</formula>
    </cfRule>
  </conditionalFormatting>
  <conditionalFormatting sqref="D54:AG54">
    <cfRule type="expression" dxfId="3424" priority="76">
      <formula>D54&gt;$AG54</formula>
    </cfRule>
    <cfRule type="expression" dxfId="3423" priority="77">
      <formula>D$9&gt;=20/24</formula>
    </cfRule>
    <cfRule type="expression" dxfId="3422" priority="78">
      <formula>AND(D$9&gt;=14/24,D$9&lt;20/24)</formula>
    </cfRule>
    <cfRule type="expression" dxfId="3421" priority="79">
      <formula>AND(D$9&gt;=8/24,D$9&lt;14/24)</formula>
    </cfRule>
    <cfRule type="expression" dxfId="3420" priority="80">
      <formula>D$9&lt;8/24</formula>
    </cfRule>
  </conditionalFormatting>
  <conditionalFormatting sqref="N55:Y59">
    <cfRule type="expression" dxfId="3419" priority="93">
      <formula>N$9&gt;=20/24</formula>
    </cfRule>
    <cfRule type="expression" dxfId="3418" priority="94">
      <formula>AND(N$9&gt;=14/24,N$9&lt;20/24)</formula>
    </cfRule>
    <cfRule type="expression" dxfId="3417" priority="95">
      <formula>AND(N$9&gt;=8/24,N$9&lt;14/24)</formula>
    </cfRule>
    <cfRule type="expression" dxfId="3416" priority="96">
      <formula>N$9&lt;8/24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415" priority="114">
      <formula>C$9&gt;=20/24</formula>
    </cfRule>
  </conditionalFormatting>
  <conditionalFormatting sqref="S8">
    <cfRule type="expression" dxfId="3414" priority="101">
      <formula>U$9&gt;=20/24</formula>
    </cfRule>
    <cfRule type="expression" dxfId="3413" priority="102">
      <formula>AND(U$9&gt;=14/24,U$9&lt;20/24)</formula>
    </cfRule>
    <cfRule type="expression" dxfId="3412" priority="103">
      <formula>AND(U$9&gt;=8/24,U$9&lt;14/24)</formula>
    </cfRule>
    <cfRule type="expression" dxfId="3411" priority="104">
      <formula>U$9&lt;8/24</formula>
    </cfRule>
  </conditionalFormatting>
  <conditionalFormatting sqref="S55:AF60">
    <cfRule type="expression" dxfId="3410" priority="10">
      <formula>S$9&gt;=20/24</formula>
    </cfRule>
    <cfRule type="expression" dxfId="3409" priority="11">
      <formula>AND(S$9&gt;=14/24,S$9&lt;20/24)</formula>
    </cfRule>
    <cfRule type="expression" dxfId="3408" priority="12">
      <formula>AND(S$9&gt;=8/24,S$9&lt;14/24)</formula>
    </cfRule>
    <cfRule type="expression" dxfId="3407" priority="13">
      <formula>S$9&lt;8/24</formula>
    </cfRule>
  </conditionalFormatting>
  <conditionalFormatting sqref="T248">
    <cfRule type="expression" dxfId="3406" priority="126">
      <formula>AX$9&gt;=20/24</formula>
    </cfRule>
    <cfRule type="expression" dxfId="3405" priority="127">
      <formula>AND(AX$9&gt;=14/24,AX$9&lt;20/24)</formula>
    </cfRule>
    <cfRule type="expression" dxfId="3404" priority="128">
      <formula>AND(AX$9&gt;=8/24,AX$9&lt;14/24)</formula>
    </cfRule>
    <cfRule type="expression" dxfId="3403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402" priority="97">
      <formula>AD$9&gt;=20/24</formula>
    </cfRule>
    <cfRule type="expression" dxfId="3401" priority="98">
      <formula>AND(AD$9&gt;=14/24,AD$9&lt;20/24)</formula>
    </cfRule>
    <cfRule type="expression" dxfId="3400" priority="99">
      <formula>AND(AD$9&gt;=8/24,AD$9&lt;14/24)</formula>
    </cfRule>
    <cfRule type="expression" dxfId="3399" priority="100">
      <formula>AD$9&lt;8/24</formula>
    </cfRule>
  </conditionalFormatting>
  <conditionalFormatting sqref="AG50">
    <cfRule type="expression" dxfId="3398" priority="84">
      <formula>AG50&gt;$AG50</formula>
    </cfRule>
  </conditionalFormatting>
  <conditionalFormatting sqref="AG89">
    <cfRule type="expression" dxfId="3397" priority="85">
      <formula>AG$9&gt;=20/24</formula>
    </cfRule>
    <cfRule type="expression" dxfId="3396" priority="86">
      <formula>AND(AG$9&gt;=14/24,AG$9&lt;20/24)</formula>
    </cfRule>
    <cfRule type="expression" dxfId="3395" priority="87">
      <formula>AND(AG$9&gt;=8/24,AG$9&lt;14/24)</formula>
    </cfRule>
    <cfRule type="expression" dxfId="3394" priority="88">
      <formula>AG$9&lt;8/24</formula>
    </cfRule>
  </conditionalFormatting>
  <conditionalFormatting sqref="AG248">
    <cfRule type="expression" dxfId="3393" priority="118">
      <formula>B$9&gt;=20/24</formula>
    </cfRule>
    <cfRule type="expression" dxfId="3392" priority="119">
      <formula>AND(B$9&gt;=14/24,B$9&lt;20/24)</formula>
    </cfRule>
    <cfRule type="expression" dxfId="3391" priority="120">
      <formula>AND(B$9&gt;=8/24,B$9&lt;14/24)</formula>
    </cfRule>
    <cfRule type="expression" dxfId="3390" priority="121">
      <formula>B$9&lt;8/24</formula>
    </cfRule>
  </conditionalFormatting>
  <conditionalFormatting sqref="AH248:AX248">
    <cfRule type="expression" dxfId="3389" priority="122">
      <formula>AG$9&gt;=20/24</formula>
    </cfRule>
    <cfRule type="expression" dxfId="3388" priority="123">
      <formula>AND(AG$9&gt;=14/24,AG$9&lt;20/24)</formula>
    </cfRule>
    <cfRule type="expression" dxfId="3387" priority="124">
      <formula>AND(AG$9&gt;=8/24,AG$9&lt;14/24)</formula>
    </cfRule>
    <cfRule type="expression" dxfId="3386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385" priority="131">
      <formula>AJ$9&gt;=20/24</formula>
    </cfRule>
    <cfRule type="expression" dxfId="3384" priority="132">
      <formula>AND(AJ$9&gt;=14/24,AJ$9&lt;20/24)</formula>
    </cfRule>
    <cfRule type="expression" dxfId="3383" priority="133">
      <formula>AND(AJ$9&gt;=8/24,AJ$9&lt;14/24)</formula>
    </cfRule>
    <cfRule type="expression" dxfId="3382" priority="134">
      <formula>AJ$9&lt;8/24</formula>
    </cfRule>
  </conditionalFormatting>
  <conditionalFormatting sqref="AL80:AN80 AL86:AN86">
    <cfRule type="expression" dxfId="3381" priority="72">
      <formula>AL$9&gt;=20/24</formula>
    </cfRule>
    <cfRule type="expression" dxfId="3380" priority="73">
      <formula>AND(AL$9&gt;=14/24,AL$9&lt;20/24)</formula>
    </cfRule>
    <cfRule type="expression" dxfId="3379" priority="74">
      <formula>AND(AL$9&gt;=8/24,AL$9&lt;14/24)</formula>
    </cfRule>
    <cfRule type="expression" dxfId="3378" priority="75">
      <formula>AL$9&lt;8/24</formula>
    </cfRule>
  </conditionalFormatting>
  <conditionalFormatting sqref="AN81:AN84">
    <cfRule type="expression" dxfId="3377" priority="68">
      <formula>AN$9&gt;=20/24</formula>
    </cfRule>
    <cfRule type="expression" dxfId="3376" priority="69">
      <formula>AND(AN$9&gt;=14/24,AN$9&lt;20/24)</formula>
    </cfRule>
    <cfRule type="expression" dxfId="3375" priority="70">
      <formula>AND(AN$9&gt;=8/24,AN$9&lt;14/24)</formula>
    </cfRule>
    <cfRule type="expression" dxfId="3374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EA1B4-C3AA-48E2-A09A-E19542445727}">
  <sheetPr codeName="Sheet27"/>
  <dimension ref="A1:CJ281"/>
  <sheetViews>
    <sheetView workbookViewId="0">
      <pane xSplit="1" ySplit="10" topLeftCell="B55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L9" sqref="L9:L1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7.42578125" style="1" customWidth="1"/>
    <col min="12" max="13" width="6.7109375" style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2080/05/5</v>
      </c>
      <c r="C4" s="201"/>
      <c r="D4" s="201"/>
      <c r="E4" s="202" t="str">
        <f ca="1">"2080/"&amp;"05/"&amp;INT(MID(CELL("filename",G6),FIND("]",CELL("filename",G6))+1,200))</f>
        <v>2080/05/5</v>
      </c>
      <c r="F4" s="202"/>
      <c r="G4" s="202"/>
      <c r="H4" s="202" t="str">
        <f ca="1">TEXT(E4,"dddd")</f>
        <v>Sunday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2140MW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Load=1970</v>
      </c>
      <c r="B7" s="35">
        <f t="shared" ref="B7:AF7" si="1">B91</f>
        <v>1970.44</v>
      </c>
      <c r="C7" s="35">
        <f t="shared" si="1"/>
        <v>2001.94</v>
      </c>
      <c r="D7" s="35">
        <f t="shared" si="1"/>
        <v>2001.94</v>
      </c>
      <c r="E7" s="35">
        <f t="shared" si="1"/>
        <v>2001.94</v>
      </c>
      <c r="F7" s="35">
        <f t="shared" si="1"/>
        <v>2001.94</v>
      </c>
      <c r="G7" s="35">
        <f t="shared" si="1"/>
        <v>2001.94</v>
      </c>
      <c r="H7" s="35">
        <f t="shared" si="1"/>
        <v>2009.94</v>
      </c>
      <c r="I7" s="35">
        <f t="shared" si="1"/>
        <v>2009.94</v>
      </c>
      <c r="J7" s="35">
        <f t="shared" si="1"/>
        <v>2009.94</v>
      </c>
      <c r="K7" s="35">
        <f t="shared" si="1"/>
        <v>2013.44</v>
      </c>
      <c r="L7" s="35">
        <f t="shared" si="1"/>
        <v>2074.94</v>
      </c>
      <c r="M7" s="35">
        <f t="shared" si="1"/>
        <v>2139.84</v>
      </c>
      <c r="N7" s="35">
        <f>N91</f>
        <v>2134.94</v>
      </c>
      <c r="O7" s="35">
        <f t="shared" si="1"/>
        <v>2132.7400000000002</v>
      </c>
      <c r="P7" s="35">
        <f t="shared" si="1"/>
        <v>2126.84</v>
      </c>
      <c r="Q7" s="35">
        <f t="shared" si="1"/>
        <v>2116.1400000000003</v>
      </c>
      <c r="R7" s="35">
        <f t="shared" si="1"/>
        <v>2120.34</v>
      </c>
      <c r="S7" s="35">
        <f t="shared" si="1"/>
        <v>2085.94</v>
      </c>
      <c r="T7" s="35">
        <f t="shared" si="1"/>
        <v>2074.7400000000002</v>
      </c>
      <c r="U7" s="35">
        <f t="shared" si="1"/>
        <v>2083.14</v>
      </c>
      <c r="V7" s="35">
        <f t="shared" si="1"/>
        <v>2078.54</v>
      </c>
      <c r="W7" s="35">
        <f t="shared" si="1"/>
        <v>2078.54</v>
      </c>
      <c r="X7" s="35">
        <f t="shared" si="1"/>
        <v>2078.54</v>
      </c>
      <c r="Y7" s="35">
        <f t="shared" si="1"/>
        <v>2159.64</v>
      </c>
      <c r="Z7" s="35">
        <f t="shared" si="1"/>
        <v>2169.44</v>
      </c>
      <c r="AA7" s="35">
        <f t="shared" si="1"/>
        <v>2148.94</v>
      </c>
      <c r="AB7" s="35">
        <f t="shared" si="1"/>
        <v>2113.8399999999997</v>
      </c>
      <c r="AC7" s="35">
        <f t="shared" si="1"/>
        <v>2115.3399999999997</v>
      </c>
      <c r="AD7" s="35">
        <f t="shared" si="1"/>
        <v>2101.7399999999998</v>
      </c>
      <c r="AE7" s="35">
        <f t="shared" si="1"/>
        <v>2101.7399999999998</v>
      </c>
      <c r="AF7" s="35">
        <f t="shared" si="1"/>
        <v>2024.8400000000001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85.9</v>
      </c>
      <c r="C11" s="45">
        <v>85.9</v>
      </c>
      <c r="D11" s="45">
        <v>85.9</v>
      </c>
      <c r="E11" s="45">
        <v>85.9</v>
      </c>
      <c r="F11" s="45">
        <v>85.9</v>
      </c>
      <c r="G11" s="45">
        <v>85.9</v>
      </c>
      <c r="H11" s="45">
        <v>85.9</v>
      </c>
      <c r="I11" s="45">
        <v>85.9</v>
      </c>
      <c r="J11" s="45">
        <v>85.9</v>
      </c>
      <c r="K11" s="45">
        <v>85.9</v>
      </c>
      <c r="L11" s="45">
        <v>85.9</v>
      </c>
      <c r="M11" s="45">
        <v>85.7</v>
      </c>
      <c r="N11" s="45">
        <v>85.7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86</v>
      </c>
      <c r="U11" s="45">
        <v>86</v>
      </c>
      <c r="V11" s="45">
        <v>86</v>
      </c>
      <c r="W11" s="45">
        <v>86</v>
      </c>
      <c r="X11" s="45">
        <v>86</v>
      </c>
      <c r="Y11" s="45">
        <v>86</v>
      </c>
      <c r="Z11" s="45">
        <v>86</v>
      </c>
      <c r="AA11" s="45">
        <v>86</v>
      </c>
      <c r="AB11" s="45">
        <v>86</v>
      </c>
      <c r="AC11" s="45">
        <v>86</v>
      </c>
      <c r="AD11" s="45">
        <v>86</v>
      </c>
      <c r="AE11" s="45">
        <v>86</v>
      </c>
      <c r="AF11" s="45">
        <v>86</v>
      </c>
      <c r="AG11" s="46">
        <v>86</v>
      </c>
      <c r="AH11" s="47">
        <f t="shared" ref="AH11:AH76" si="2">MAX(B11:AF11)</f>
        <v>90</v>
      </c>
      <c r="AI11" s="48">
        <f t="shared" ref="AI11:AI76" si="3">MIN(B11:AF11)</f>
        <v>85.7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54.5</v>
      </c>
      <c r="E13" s="45">
        <v>54.5</v>
      </c>
      <c r="F13" s="45">
        <v>54.5</v>
      </c>
      <c r="G13" s="45">
        <v>54.5</v>
      </c>
      <c r="H13" s="45">
        <v>54.5</v>
      </c>
      <c r="I13" s="45">
        <v>54.5</v>
      </c>
      <c r="J13" s="45">
        <v>54.5</v>
      </c>
      <c r="K13" s="45">
        <v>54.5</v>
      </c>
      <c r="L13" s="45">
        <v>54.5</v>
      </c>
      <c r="M13" s="45">
        <v>54.5</v>
      </c>
      <c r="N13" s="45">
        <v>54.5</v>
      </c>
      <c r="O13" s="45">
        <v>54.5</v>
      </c>
      <c r="P13" s="45">
        <v>54.5</v>
      </c>
      <c r="Q13" s="45">
        <v>54.5</v>
      </c>
      <c r="R13" s="45">
        <v>54.5</v>
      </c>
      <c r="S13" s="45">
        <v>54.5</v>
      </c>
      <c r="T13" s="45">
        <v>54.5</v>
      </c>
      <c r="U13" s="45">
        <v>52.9</v>
      </c>
      <c r="V13" s="45">
        <v>52.9</v>
      </c>
      <c r="W13" s="45">
        <v>52.9</v>
      </c>
      <c r="X13" s="45">
        <v>52.9</v>
      </c>
      <c r="Y13" s="45">
        <v>52.9</v>
      </c>
      <c r="Z13" s="45">
        <v>52.9</v>
      </c>
      <c r="AA13" s="45">
        <v>52.9</v>
      </c>
      <c r="AB13" s="45">
        <v>52.9</v>
      </c>
      <c r="AC13" s="45">
        <v>54.4</v>
      </c>
      <c r="AD13" s="45">
        <v>54.4</v>
      </c>
      <c r="AE13" s="45">
        <v>54.4</v>
      </c>
      <c r="AF13" s="45">
        <v>54.6</v>
      </c>
      <c r="AG13" s="46">
        <v>52.4</v>
      </c>
      <c r="AH13" s="47">
        <f t="shared" si="2"/>
        <v>54.6</v>
      </c>
      <c r="AI13" s="48">
        <f t="shared" si="3"/>
        <v>52.9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45">
        <v>50.4</v>
      </c>
      <c r="AA14" s="45">
        <v>50.4</v>
      </c>
      <c r="AB14" s="45">
        <v>50.3</v>
      </c>
      <c r="AC14" s="45">
        <v>50.3</v>
      </c>
      <c r="AD14" s="45">
        <v>50.3</v>
      </c>
      <c r="AE14" s="45">
        <v>50.3</v>
      </c>
      <c r="AF14" s="45">
        <v>50.3</v>
      </c>
      <c r="AG14" s="49">
        <v>50</v>
      </c>
      <c r="AH14" s="47">
        <f t="shared" si="2"/>
        <v>50.5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46.7</v>
      </c>
      <c r="E15" s="45">
        <v>46.7</v>
      </c>
      <c r="F15" s="45">
        <v>46.7</v>
      </c>
      <c r="G15" s="45">
        <v>46.7</v>
      </c>
      <c r="H15" s="45">
        <v>46.7</v>
      </c>
      <c r="I15" s="45">
        <v>46.7</v>
      </c>
      <c r="J15" s="45">
        <v>46.7</v>
      </c>
      <c r="K15" s="45">
        <v>46.7</v>
      </c>
      <c r="L15" s="45">
        <v>46.7</v>
      </c>
      <c r="M15" s="45">
        <v>46.7</v>
      </c>
      <c r="N15" s="45">
        <v>46.7</v>
      </c>
      <c r="O15" s="45">
        <v>46.7</v>
      </c>
      <c r="P15" s="45">
        <v>46.7</v>
      </c>
      <c r="Q15" s="45">
        <v>46.7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46.6</v>
      </c>
      <c r="AC15" s="45">
        <v>46.6</v>
      </c>
      <c r="AD15" s="45">
        <v>46.6</v>
      </c>
      <c r="AE15" s="45">
        <v>46.6</v>
      </c>
      <c r="AF15" s="45">
        <v>46.4</v>
      </c>
      <c r="AG15" s="49">
        <v>45</v>
      </c>
      <c r="AH15" s="47">
        <f t="shared" si="2"/>
        <v>46.7</v>
      </c>
      <c r="AI15" s="48">
        <f t="shared" si="3"/>
        <v>46.4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26.5</v>
      </c>
      <c r="C17" s="45">
        <v>26.5</v>
      </c>
      <c r="D17" s="45">
        <v>26.5</v>
      </c>
      <c r="E17" s="45">
        <v>26.5</v>
      </c>
      <c r="F17" s="45">
        <v>26.5</v>
      </c>
      <c r="G17" s="45">
        <v>26.5</v>
      </c>
      <c r="H17" s="45">
        <v>26.5</v>
      </c>
      <c r="I17" s="45">
        <v>26.5</v>
      </c>
      <c r="J17" s="45">
        <v>26.5</v>
      </c>
      <c r="K17" s="45">
        <v>26.5</v>
      </c>
      <c r="L17" s="45">
        <v>26.5</v>
      </c>
      <c r="M17" s="45">
        <v>26.5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24</v>
      </c>
      <c r="AA17" s="45">
        <v>24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28</v>
      </c>
      <c r="AI17" s="48">
        <f t="shared" si="3"/>
        <v>24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0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15</v>
      </c>
      <c r="D20" s="45">
        <v>15</v>
      </c>
      <c r="E20" s="45">
        <v>15</v>
      </c>
      <c r="F20" s="45">
        <v>15</v>
      </c>
      <c r="G20" s="45">
        <v>15</v>
      </c>
      <c r="H20" s="45">
        <v>15</v>
      </c>
      <c r="I20" s="45">
        <v>15</v>
      </c>
      <c r="J20" s="45">
        <v>15</v>
      </c>
      <c r="K20" s="45">
        <v>15</v>
      </c>
      <c r="L20" s="45">
        <v>15</v>
      </c>
      <c r="M20" s="45">
        <v>30</v>
      </c>
      <c r="N20" s="45">
        <v>30</v>
      </c>
      <c r="O20" s="45">
        <v>20.8</v>
      </c>
      <c r="P20" s="45">
        <v>29.6</v>
      </c>
      <c r="Q20" s="45">
        <v>20.2</v>
      </c>
      <c r="R20" s="45">
        <v>20.2</v>
      </c>
      <c r="S20" s="45">
        <v>20.2</v>
      </c>
      <c r="T20" s="45">
        <v>25</v>
      </c>
      <c r="U20" s="45">
        <v>15</v>
      </c>
      <c r="V20" s="45">
        <v>15</v>
      </c>
      <c r="W20" s="45">
        <v>15</v>
      </c>
      <c r="X20" s="45">
        <v>15</v>
      </c>
      <c r="Y20" s="45">
        <v>30</v>
      </c>
      <c r="Z20" s="45">
        <v>30</v>
      </c>
      <c r="AA20" s="45">
        <v>30</v>
      </c>
      <c r="AB20" s="45">
        <v>10.199999999999999</v>
      </c>
      <c r="AC20" s="45">
        <v>10.199999999999999</v>
      </c>
      <c r="AD20" s="45">
        <v>10.199999999999999</v>
      </c>
      <c r="AE20" s="45">
        <v>10.199999999999999</v>
      </c>
      <c r="AF20" s="45">
        <v>5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>
        <v>20</v>
      </c>
      <c r="I21" s="45">
        <v>20</v>
      </c>
      <c r="J21" s="45">
        <v>20</v>
      </c>
      <c r="K21" s="45">
        <v>20</v>
      </c>
      <c r="L21" s="45">
        <v>20</v>
      </c>
      <c r="M21" s="45">
        <v>33</v>
      </c>
      <c r="N21" s="45">
        <v>26</v>
      </c>
      <c r="O21" s="45">
        <v>26</v>
      </c>
      <c r="P21" s="45">
        <v>26</v>
      </c>
      <c r="Q21" s="45">
        <v>26</v>
      </c>
      <c r="R21" s="45">
        <v>26</v>
      </c>
      <c r="S21" s="45">
        <v>26</v>
      </c>
      <c r="T21" s="45">
        <v>26</v>
      </c>
      <c r="U21" s="45">
        <v>26</v>
      </c>
      <c r="V21" s="45">
        <v>26</v>
      </c>
      <c r="W21" s="45">
        <v>26</v>
      </c>
      <c r="X21" s="45">
        <v>26</v>
      </c>
      <c r="Y21" s="45">
        <v>26</v>
      </c>
      <c r="Z21" s="45">
        <v>26</v>
      </c>
      <c r="AA21" s="45">
        <v>26</v>
      </c>
      <c r="AB21" s="45">
        <v>25.9</v>
      </c>
      <c r="AC21" s="45">
        <v>25.9</v>
      </c>
      <c r="AD21" s="45">
        <v>25.9</v>
      </c>
      <c r="AE21" s="45">
        <v>25.9</v>
      </c>
      <c r="AF21" s="45">
        <v>22.3</v>
      </c>
      <c r="AG21" s="49">
        <v>24.2</v>
      </c>
      <c r="AH21" s="47">
        <f t="shared" si="2"/>
        <v>33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29</v>
      </c>
      <c r="N22" s="45">
        <v>29</v>
      </c>
      <c r="O22" s="45">
        <v>29</v>
      </c>
      <c r="P22" s="45">
        <v>29</v>
      </c>
      <c r="Q22" s="45">
        <v>29</v>
      </c>
      <c r="R22" s="45">
        <v>29</v>
      </c>
      <c r="S22" s="45">
        <v>29</v>
      </c>
      <c r="T22" s="45">
        <v>29</v>
      </c>
      <c r="U22" s="45">
        <v>29</v>
      </c>
      <c r="V22" s="45">
        <v>29</v>
      </c>
      <c r="W22" s="45">
        <v>29</v>
      </c>
      <c r="X22" s="45">
        <v>29</v>
      </c>
      <c r="Y22" s="45">
        <v>29</v>
      </c>
      <c r="Z22" s="45">
        <v>29</v>
      </c>
      <c r="AA22" s="45">
        <v>29</v>
      </c>
      <c r="AB22" s="45">
        <v>29</v>
      </c>
      <c r="AC22" s="45">
        <v>29</v>
      </c>
      <c r="AD22" s="45">
        <v>29</v>
      </c>
      <c r="AE22" s="45">
        <v>29</v>
      </c>
      <c r="AF22" s="45">
        <v>28</v>
      </c>
      <c r="AG22" s="49">
        <v>28</v>
      </c>
      <c r="AH22" s="47">
        <f t="shared" si="2"/>
        <v>29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5</v>
      </c>
      <c r="C23" s="45">
        <v>5</v>
      </c>
      <c r="D23" s="45">
        <v>5</v>
      </c>
      <c r="E23" s="45">
        <v>5</v>
      </c>
      <c r="F23" s="45">
        <v>5</v>
      </c>
      <c r="G23" s="45">
        <v>5</v>
      </c>
      <c r="H23" s="45">
        <v>13</v>
      </c>
      <c r="I23" s="45">
        <v>13</v>
      </c>
      <c r="J23" s="45">
        <v>13</v>
      </c>
      <c r="K23" s="45">
        <v>13</v>
      </c>
      <c r="L23" s="45">
        <v>27</v>
      </c>
      <c r="M23" s="45">
        <v>27</v>
      </c>
      <c r="N23" s="45">
        <v>20</v>
      </c>
      <c r="O23" s="45">
        <v>20</v>
      </c>
      <c r="P23" s="45">
        <v>20</v>
      </c>
      <c r="Q23" s="45">
        <v>20</v>
      </c>
      <c r="R23" s="45">
        <v>20</v>
      </c>
      <c r="S23" s="45">
        <v>20</v>
      </c>
      <c r="T23" s="45">
        <v>13.5</v>
      </c>
      <c r="U23" s="45">
        <v>9</v>
      </c>
      <c r="V23" s="45">
        <v>9</v>
      </c>
      <c r="W23" s="45">
        <v>9</v>
      </c>
      <c r="X23" s="45">
        <v>9</v>
      </c>
      <c r="Y23" s="45">
        <v>27</v>
      </c>
      <c r="Z23" s="45">
        <v>27</v>
      </c>
      <c r="AA23" s="45">
        <v>27</v>
      </c>
      <c r="AB23" s="45">
        <v>9</v>
      </c>
      <c r="AC23" s="45">
        <v>9</v>
      </c>
      <c r="AD23" s="45">
        <v>9</v>
      </c>
      <c r="AE23" s="45">
        <v>9</v>
      </c>
      <c r="AF23" s="45">
        <v>4</v>
      </c>
      <c r="AG23" s="51">
        <v>30</v>
      </c>
      <c r="AH23" s="47">
        <f t="shared" si="2"/>
        <v>27</v>
      </c>
      <c r="AI23" s="48">
        <f t="shared" si="3"/>
        <v>4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</v>
      </c>
      <c r="C24" s="45">
        <v>24</v>
      </c>
      <c r="D24" s="45">
        <v>24</v>
      </c>
      <c r="E24" s="45">
        <v>24</v>
      </c>
      <c r="F24" s="45">
        <v>24</v>
      </c>
      <c r="G24" s="45">
        <v>24</v>
      </c>
      <c r="H24" s="45">
        <v>24</v>
      </c>
      <c r="I24" s="45">
        <v>24</v>
      </c>
      <c r="J24" s="45">
        <v>24</v>
      </c>
      <c r="K24" s="45">
        <v>24</v>
      </c>
      <c r="L24" s="45">
        <v>24</v>
      </c>
      <c r="M24" s="45">
        <v>25</v>
      </c>
      <c r="N24" s="45">
        <v>25</v>
      </c>
      <c r="O24" s="45">
        <v>25</v>
      </c>
      <c r="P24" s="45">
        <v>25</v>
      </c>
      <c r="Q24" s="45">
        <v>25</v>
      </c>
      <c r="R24" s="45">
        <v>25</v>
      </c>
      <c r="S24" s="45">
        <v>25</v>
      </c>
      <c r="T24" s="45">
        <v>25</v>
      </c>
      <c r="U24" s="45">
        <v>25</v>
      </c>
      <c r="V24" s="45">
        <v>25</v>
      </c>
      <c r="W24" s="45">
        <v>25</v>
      </c>
      <c r="X24" s="45">
        <v>25</v>
      </c>
      <c r="Y24" s="45">
        <v>25</v>
      </c>
      <c r="Z24" s="45">
        <v>25</v>
      </c>
      <c r="AA24" s="45">
        <v>25</v>
      </c>
      <c r="AB24" s="45">
        <v>25.2</v>
      </c>
      <c r="AC24" s="45">
        <v>25.2</v>
      </c>
      <c r="AD24" s="45">
        <v>25.2</v>
      </c>
      <c r="AE24" s="45">
        <v>25.2</v>
      </c>
      <c r="AF24" s="45">
        <v>24.5</v>
      </c>
      <c r="AG24" s="49">
        <v>25</v>
      </c>
      <c r="AH24" s="47">
        <f t="shared" si="2"/>
        <v>25.2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5</v>
      </c>
      <c r="E27" s="45">
        <v>5</v>
      </c>
      <c r="F27" s="45">
        <v>5</v>
      </c>
      <c r="G27" s="45">
        <v>5</v>
      </c>
      <c r="H27" s="45">
        <v>5</v>
      </c>
      <c r="I27" s="45">
        <v>5</v>
      </c>
      <c r="J27" s="45">
        <v>5</v>
      </c>
      <c r="K27" s="45">
        <v>5</v>
      </c>
      <c r="L27" s="45">
        <v>25</v>
      </c>
      <c r="M27" s="45">
        <v>25</v>
      </c>
      <c r="N27" s="45">
        <v>20</v>
      </c>
      <c r="O27" s="45">
        <v>20</v>
      </c>
      <c r="P27" s="45">
        <v>20</v>
      </c>
      <c r="Q27" s="45">
        <v>20</v>
      </c>
      <c r="R27" s="45">
        <v>20</v>
      </c>
      <c r="S27" s="45">
        <v>20</v>
      </c>
      <c r="T27" s="45">
        <v>20</v>
      </c>
      <c r="U27" s="45">
        <v>8.5</v>
      </c>
      <c r="V27" s="45">
        <v>8.5</v>
      </c>
      <c r="W27" s="45">
        <v>8.5</v>
      </c>
      <c r="X27" s="45">
        <v>8.5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25</v>
      </c>
      <c r="AF27" s="45">
        <v>4</v>
      </c>
      <c r="AG27" s="49">
        <v>25</v>
      </c>
      <c r="AH27" s="47">
        <f t="shared" si="2"/>
        <v>25</v>
      </c>
      <c r="AI27" s="48">
        <f t="shared" si="3"/>
        <v>4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5</v>
      </c>
      <c r="K33" s="45">
        <v>5</v>
      </c>
      <c r="L33" s="45">
        <v>9</v>
      </c>
      <c r="M33" s="45">
        <v>9</v>
      </c>
      <c r="N33" s="45">
        <v>9</v>
      </c>
      <c r="O33" s="45">
        <v>9</v>
      </c>
      <c r="P33" s="45">
        <v>9</v>
      </c>
      <c r="Q33" s="45">
        <v>9</v>
      </c>
      <c r="R33" s="45">
        <v>9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5</v>
      </c>
      <c r="Y33" s="45">
        <v>20</v>
      </c>
      <c r="Z33" s="45">
        <v>20</v>
      </c>
      <c r="AA33" s="45">
        <v>5</v>
      </c>
      <c r="AB33" s="45">
        <v>6</v>
      </c>
      <c r="AC33" s="45">
        <v>6</v>
      </c>
      <c r="AD33" s="45">
        <v>6</v>
      </c>
      <c r="AE33" s="45">
        <v>6</v>
      </c>
      <c r="AF33" s="45">
        <v>0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3.5</v>
      </c>
      <c r="L34" s="45">
        <v>8</v>
      </c>
      <c r="M34" s="45">
        <v>8</v>
      </c>
      <c r="N34" s="45">
        <v>8</v>
      </c>
      <c r="O34" s="45">
        <v>8</v>
      </c>
      <c r="P34" s="45">
        <v>8</v>
      </c>
      <c r="Q34" s="45">
        <v>8</v>
      </c>
      <c r="R34" s="45">
        <v>8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9</v>
      </c>
      <c r="Z34" s="45">
        <v>9</v>
      </c>
      <c r="AA34" s="45">
        <v>3.5</v>
      </c>
      <c r="AB34" s="45">
        <v>5</v>
      </c>
      <c r="AC34" s="45">
        <v>5</v>
      </c>
      <c r="AD34" s="45">
        <v>5</v>
      </c>
      <c r="AE34" s="45">
        <v>5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>
        <v>3</v>
      </c>
      <c r="I39" s="45">
        <v>3</v>
      </c>
      <c r="J39" s="45">
        <v>3</v>
      </c>
      <c r="K39" s="45">
        <v>3</v>
      </c>
      <c r="L39" s="45">
        <v>12</v>
      </c>
      <c r="M39" s="45">
        <v>12</v>
      </c>
      <c r="N39" s="45">
        <v>12</v>
      </c>
      <c r="O39" s="45">
        <v>12</v>
      </c>
      <c r="P39" s="45">
        <v>12</v>
      </c>
      <c r="Q39" s="45">
        <v>12</v>
      </c>
      <c r="R39" s="45">
        <v>12</v>
      </c>
      <c r="S39" s="45">
        <v>6</v>
      </c>
      <c r="T39" s="45">
        <v>6</v>
      </c>
      <c r="U39" s="45">
        <v>4</v>
      </c>
      <c r="V39" s="45">
        <v>4</v>
      </c>
      <c r="W39" s="45">
        <v>4</v>
      </c>
      <c r="X39" s="45">
        <v>4</v>
      </c>
      <c r="Y39" s="45">
        <v>12</v>
      </c>
      <c r="Z39" s="45">
        <v>12</v>
      </c>
      <c r="AA39" s="45">
        <v>12</v>
      </c>
      <c r="AB39" s="45">
        <v>4</v>
      </c>
      <c r="AC39" s="45">
        <v>4</v>
      </c>
      <c r="AD39" s="45">
        <v>0</v>
      </c>
      <c r="AE39" s="45">
        <v>0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8</v>
      </c>
      <c r="C40" s="45">
        <v>8</v>
      </c>
      <c r="D40" s="45">
        <v>8</v>
      </c>
      <c r="E40" s="45">
        <v>8</v>
      </c>
      <c r="F40" s="45">
        <v>8</v>
      </c>
      <c r="G40" s="45">
        <v>8</v>
      </c>
      <c r="H40" s="45">
        <v>8</v>
      </c>
      <c r="I40" s="45">
        <v>8</v>
      </c>
      <c r="J40" s="45">
        <v>8</v>
      </c>
      <c r="K40" s="45">
        <v>8</v>
      </c>
      <c r="L40" s="45">
        <v>8</v>
      </c>
      <c r="M40" s="45">
        <v>8</v>
      </c>
      <c r="N40" s="45">
        <v>8</v>
      </c>
      <c r="O40" s="45">
        <v>8</v>
      </c>
      <c r="P40" s="45">
        <v>8</v>
      </c>
      <c r="Q40" s="45">
        <v>4</v>
      </c>
      <c r="R40" s="45">
        <v>8</v>
      </c>
      <c r="S40" s="45">
        <v>8</v>
      </c>
      <c r="T40" s="45">
        <v>8</v>
      </c>
      <c r="U40" s="45">
        <v>8</v>
      </c>
      <c r="V40" s="45">
        <v>8</v>
      </c>
      <c r="W40" s="45">
        <v>8</v>
      </c>
      <c r="X40" s="45">
        <v>8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4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114.5</v>
      </c>
      <c r="C49" s="56">
        <v>114.5</v>
      </c>
      <c r="D49" s="56">
        <v>114.5</v>
      </c>
      <c r="E49" s="56">
        <v>114.5</v>
      </c>
      <c r="F49" s="56">
        <v>114.5</v>
      </c>
      <c r="G49" s="56">
        <v>114.5</v>
      </c>
      <c r="H49" s="56">
        <v>114.5</v>
      </c>
      <c r="I49" s="56">
        <v>114.5</v>
      </c>
      <c r="J49" s="56">
        <v>114.5</v>
      </c>
      <c r="K49" s="56">
        <v>114.5</v>
      </c>
      <c r="L49" s="56">
        <v>114.5</v>
      </c>
      <c r="M49" s="56">
        <v>114.5</v>
      </c>
      <c r="N49" s="56">
        <v>114.5</v>
      </c>
      <c r="O49" s="56">
        <f>33.2+84</f>
        <v>117.2</v>
      </c>
      <c r="P49" s="56">
        <f>33.2+84</f>
        <v>117.2</v>
      </c>
      <c r="Q49" s="56">
        <f>33.3+84</f>
        <v>117.3</v>
      </c>
      <c r="R49" s="56">
        <f>33.3+84</f>
        <v>117.3</v>
      </c>
      <c r="S49" s="56">
        <f>33.3+84</f>
        <v>117.3</v>
      </c>
      <c r="T49" s="56">
        <f>33.3+84</f>
        <v>117.3</v>
      </c>
      <c r="U49" s="56">
        <f>33.3+84</f>
        <v>117.3</v>
      </c>
      <c r="V49" s="56">
        <v>120.6</v>
      </c>
      <c r="W49" s="56">
        <v>120.6</v>
      </c>
      <c r="X49" s="56">
        <v>120.6</v>
      </c>
      <c r="Y49" s="56">
        <v>120.6</v>
      </c>
      <c r="Z49" s="56">
        <v>120.6</v>
      </c>
      <c r="AA49" s="56">
        <v>120.6</v>
      </c>
      <c r="AB49" s="56">
        <f>85.9+34.8</f>
        <v>120.7</v>
      </c>
      <c r="AC49" s="56">
        <f>86.1+34.8</f>
        <v>120.89999999999999</v>
      </c>
      <c r="AD49" s="56">
        <f>86.9+35.2</f>
        <v>122.10000000000001</v>
      </c>
      <c r="AE49" s="56">
        <f>86.9+35.2</f>
        <v>122.10000000000001</v>
      </c>
      <c r="AF49" s="56">
        <f>87.8+35</f>
        <v>122.8</v>
      </c>
      <c r="AG49" s="54">
        <v>240</v>
      </c>
      <c r="AH49" s="47">
        <f t="shared" si="2"/>
        <v>122.8</v>
      </c>
      <c r="AI49" s="48">
        <f t="shared" si="3"/>
        <v>114.5</v>
      </c>
      <c r="AK49" s="50"/>
    </row>
    <row r="50" spans="1:41" ht="15.75" thickBot="1" x14ac:dyDescent="0.3">
      <c r="A50" s="59" t="s">
        <v>58</v>
      </c>
      <c r="B50" s="60">
        <v>1030.2</v>
      </c>
      <c r="C50" s="60">
        <f t="shared" ref="C50:AD50" si="4">SUM(C11:C48)</f>
        <v>1045.2</v>
      </c>
      <c r="D50" s="60">
        <f t="shared" ref="D50:I50" si="5">SUM(D11:D48)</f>
        <v>1045.2</v>
      </c>
      <c r="E50" s="60">
        <f t="shared" si="5"/>
        <v>1045.2</v>
      </c>
      <c r="F50" s="60">
        <f t="shared" si="5"/>
        <v>1045.2</v>
      </c>
      <c r="G50" s="60">
        <f t="shared" si="5"/>
        <v>1045.2</v>
      </c>
      <c r="H50" s="60">
        <f t="shared" si="5"/>
        <v>1053.2</v>
      </c>
      <c r="I50" s="60">
        <f t="shared" si="5"/>
        <v>1053.2</v>
      </c>
      <c r="J50" s="60">
        <f>SUM(J11:J48)</f>
        <v>1053.2</v>
      </c>
      <c r="K50" s="60">
        <f>SUM(K11:K48)</f>
        <v>1056.7</v>
      </c>
      <c r="L50" s="60">
        <f>SUM(L11:L48)</f>
        <v>1108.2</v>
      </c>
      <c r="M50" s="60">
        <f t="shared" si="4"/>
        <v>1145.9000000000001</v>
      </c>
      <c r="N50" s="60">
        <f t="shared" si="4"/>
        <v>1128.4000000000001</v>
      </c>
      <c r="O50" s="60">
        <f t="shared" si="4"/>
        <v>1123.5</v>
      </c>
      <c r="P50" s="60">
        <f>SUM(P11:P48)</f>
        <v>1132.3000000000002</v>
      </c>
      <c r="Q50" s="60">
        <f t="shared" si="4"/>
        <v>1118.9000000000001</v>
      </c>
      <c r="R50" s="60">
        <f t="shared" si="4"/>
        <v>1122.9000000000001</v>
      </c>
      <c r="S50" s="60">
        <f t="shared" si="4"/>
        <v>1108.9000000000001</v>
      </c>
      <c r="T50" s="60">
        <f t="shared" si="4"/>
        <v>1103.2</v>
      </c>
      <c r="U50" s="60">
        <f t="shared" si="4"/>
        <v>1126.5999999999999</v>
      </c>
      <c r="V50" s="60">
        <f t="shared" si="4"/>
        <v>1126.5999999999999</v>
      </c>
      <c r="W50" s="60">
        <f t="shared" si="4"/>
        <v>1126.5999999999999</v>
      </c>
      <c r="X50" s="60">
        <f t="shared" si="4"/>
        <v>1126.5999999999999</v>
      </c>
      <c r="Y50" s="60">
        <f t="shared" si="4"/>
        <v>1208.0999999999999</v>
      </c>
      <c r="Z50" s="60">
        <f t="shared" si="4"/>
        <v>1204.0999999999999</v>
      </c>
      <c r="AA50" s="60">
        <f t="shared" si="4"/>
        <v>1183.5999999999999</v>
      </c>
      <c r="AB50" s="60">
        <f t="shared" si="4"/>
        <v>1144.0999999999999</v>
      </c>
      <c r="AC50" s="60">
        <f t="shared" si="4"/>
        <v>1145.5999999999999</v>
      </c>
      <c r="AD50" s="60">
        <f t="shared" si="4"/>
        <v>1141.5999999999999</v>
      </c>
      <c r="AE50" s="60">
        <f>SUM(AE11:AE48)</f>
        <v>1141.5999999999999</v>
      </c>
      <c r="AF50" s="60">
        <f>SUM(AF11:AF48)</f>
        <v>1057.2</v>
      </c>
      <c r="AG50" s="61">
        <f>SUM(AG13:AG48)</f>
        <v>922.14</v>
      </c>
      <c r="AH50" s="47">
        <f t="shared" si="2"/>
        <v>1208.0999999999999</v>
      </c>
      <c r="AI50" s="48">
        <f t="shared" si="3"/>
        <v>1030.2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v>528</v>
      </c>
      <c r="C54" s="60">
        <f t="shared" ref="C54:AG54" si="6">SUM(C51:C53)</f>
        <v>528</v>
      </c>
      <c r="D54" s="60">
        <f t="shared" ref="D54:I54" si="7">SUM(D51:D53)</f>
        <v>528</v>
      </c>
      <c r="E54" s="60">
        <f t="shared" si="7"/>
        <v>528</v>
      </c>
      <c r="F54" s="60">
        <f t="shared" si="7"/>
        <v>528</v>
      </c>
      <c r="G54" s="60">
        <f t="shared" si="7"/>
        <v>528</v>
      </c>
      <c r="H54" s="60">
        <f t="shared" si="7"/>
        <v>528</v>
      </c>
      <c r="I54" s="60">
        <f t="shared" si="7"/>
        <v>528</v>
      </c>
      <c r="J54" s="60">
        <f>SUM(J51:J53)</f>
        <v>528</v>
      </c>
      <c r="K54" s="60">
        <f>SUM(K51:K53)</f>
        <v>528</v>
      </c>
      <c r="L54" s="60">
        <f>SUM(L51:L53)</f>
        <v>538</v>
      </c>
      <c r="M54" s="60">
        <f t="shared" si="6"/>
        <v>538</v>
      </c>
      <c r="N54" s="60">
        <f t="shared" si="6"/>
        <v>538</v>
      </c>
      <c r="O54" s="60">
        <f t="shared" si="6"/>
        <v>538</v>
      </c>
      <c r="P54" s="60">
        <f>SUM(P51:P53)</f>
        <v>538</v>
      </c>
      <c r="Q54" s="60">
        <f t="shared" si="6"/>
        <v>538</v>
      </c>
      <c r="R54" s="60">
        <f t="shared" si="6"/>
        <v>538</v>
      </c>
      <c r="S54" s="60">
        <f t="shared" si="6"/>
        <v>538</v>
      </c>
      <c r="T54" s="60">
        <f t="shared" si="6"/>
        <v>538</v>
      </c>
      <c r="U54" s="60">
        <f t="shared" si="6"/>
        <v>538</v>
      </c>
      <c r="V54" s="60">
        <f t="shared" si="6"/>
        <v>538</v>
      </c>
      <c r="W54" s="60">
        <f t="shared" si="6"/>
        <v>538</v>
      </c>
      <c r="X54" s="60">
        <f t="shared" si="6"/>
        <v>538</v>
      </c>
      <c r="Y54" s="60">
        <f t="shared" si="6"/>
        <v>538</v>
      </c>
      <c r="Z54" s="60">
        <f t="shared" si="6"/>
        <v>538</v>
      </c>
      <c r="AA54" s="60">
        <f t="shared" si="6"/>
        <v>538</v>
      </c>
      <c r="AB54" s="60">
        <f t="shared" si="6"/>
        <v>538</v>
      </c>
      <c r="AC54" s="60">
        <f t="shared" si="6"/>
        <v>538</v>
      </c>
      <c r="AD54" s="60">
        <f t="shared" si="6"/>
        <v>538</v>
      </c>
      <c r="AE54" s="60">
        <f>SUM(AE51:AE53)</f>
        <v>538</v>
      </c>
      <c r="AF54" s="60">
        <f>SUM(AF51:AF53)</f>
        <v>538</v>
      </c>
      <c r="AG54" s="61">
        <f t="shared" si="6"/>
        <v>538.1</v>
      </c>
      <c r="AH54" s="47">
        <f t="shared" si="2"/>
        <v>538</v>
      </c>
      <c r="AI54" s="48">
        <f t="shared" si="3"/>
        <v>528</v>
      </c>
      <c r="AK54" s="50"/>
    </row>
    <row r="55" spans="1:41" x14ac:dyDescent="0.25">
      <c r="A55" s="44" t="s">
        <v>63</v>
      </c>
      <c r="B55" s="45">
        <v>145</v>
      </c>
      <c r="C55" s="45">
        <v>145</v>
      </c>
      <c r="D55" s="45">
        <v>145</v>
      </c>
      <c r="E55" s="45">
        <v>145</v>
      </c>
      <c r="F55" s="45">
        <v>145</v>
      </c>
      <c r="G55" s="45">
        <v>145</v>
      </c>
      <c r="H55" s="45">
        <v>145</v>
      </c>
      <c r="I55" s="45">
        <v>145</v>
      </c>
      <c r="J55" s="45">
        <v>145</v>
      </c>
      <c r="K55" s="45">
        <v>145</v>
      </c>
      <c r="L55" s="45">
        <v>145</v>
      </c>
      <c r="M55" s="45">
        <v>141</v>
      </c>
      <c r="N55" s="45">
        <v>141</v>
      </c>
      <c r="O55" s="45">
        <v>141</v>
      </c>
      <c r="P55" s="45">
        <v>141</v>
      </c>
      <c r="Q55" s="45">
        <v>141</v>
      </c>
      <c r="R55" s="45">
        <v>141</v>
      </c>
      <c r="S55" s="45">
        <v>140</v>
      </c>
      <c r="T55" s="45">
        <v>140</v>
      </c>
      <c r="U55" s="45">
        <v>140</v>
      </c>
      <c r="V55" s="45">
        <v>140</v>
      </c>
      <c r="W55" s="45">
        <v>140</v>
      </c>
      <c r="X55" s="45">
        <v>140</v>
      </c>
      <c r="Y55" s="45">
        <v>140</v>
      </c>
      <c r="Z55" s="45">
        <v>140</v>
      </c>
      <c r="AA55" s="45">
        <v>140</v>
      </c>
      <c r="AB55" s="45">
        <v>143</v>
      </c>
      <c r="AC55" s="45">
        <v>143.19999999999999</v>
      </c>
      <c r="AD55" s="45">
        <v>143.19999999999999</v>
      </c>
      <c r="AE55" s="45">
        <v>143.19999999999999</v>
      </c>
      <c r="AF55" s="45">
        <v>143.1</v>
      </c>
      <c r="AG55" s="51">
        <v>144</v>
      </c>
      <c r="AH55" s="47">
        <f t="shared" si="2"/>
        <v>145</v>
      </c>
      <c r="AI55" s="48">
        <f t="shared" si="3"/>
        <v>140</v>
      </c>
      <c r="AK55" s="50"/>
    </row>
    <row r="56" spans="1:41" x14ac:dyDescent="0.25">
      <c r="A56" s="53" t="s">
        <v>64</v>
      </c>
      <c r="B56" s="64">
        <v>62</v>
      </c>
      <c r="C56" s="64">
        <v>70</v>
      </c>
      <c r="D56" s="64">
        <v>70</v>
      </c>
      <c r="E56" s="64">
        <v>70</v>
      </c>
      <c r="F56" s="64">
        <v>70</v>
      </c>
      <c r="G56" s="64">
        <v>70</v>
      </c>
      <c r="H56" s="64">
        <v>70</v>
      </c>
      <c r="I56" s="64">
        <v>70</v>
      </c>
      <c r="J56" s="64">
        <v>70</v>
      </c>
      <c r="K56" s="64">
        <v>70</v>
      </c>
      <c r="L56" s="64">
        <v>70</v>
      </c>
      <c r="M56" s="64">
        <v>69.400000000000006</v>
      </c>
      <c r="N56" s="64">
        <v>69.400000000000006</v>
      </c>
      <c r="O56" s="64">
        <v>69.400000000000006</v>
      </c>
      <c r="P56" s="64">
        <v>69.400000000000006</v>
      </c>
      <c r="Q56" s="64">
        <v>69.400000000000006</v>
      </c>
      <c r="R56" s="64">
        <v>69.400000000000006</v>
      </c>
      <c r="S56" s="64">
        <v>69.400000000000006</v>
      </c>
      <c r="T56" s="64">
        <v>68</v>
      </c>
      <c r="U56" s="64">
        <v>68</v>
      </c>
      <c r="V56" s="64">
        <v>68</v>
      </c>
      <c r="W56" s="64">
        <v>68</v>
      </c>
      <c r="X56" s="64">
        <v>68</v>
      </c>
      <c r="Y56" s="64">
        <v>68</v>
      </c>
      <c r="Z56" s="64">
        <v>68</v>
      </c>
      <c r="AA56" s="64">
        <v>68</v>
      </c>
      <c r="AB56" s="45">
        <v>70</v>
      </c>
      <c r="AC56" s="45">
        <v>70.2</v>
      </c>
      <c r="AD56" s="64">
        <v>70.5</v>
      </c>
      <c r="AE56" s="64">
        <v>70.5</v>
      </c>
      <c r="AF56" s="64">
        <v>70.900000000000006</v>
      </c>
      <c r="AG56" s="54">
        <v>70</v>
      </c>
      <c r="AH56" s="47">
        <f t="shared" si="2"/>
        <v>70.900000000000006</v>
      </c>
      <c r="AI56" s="48">
        <f t="shared" si="3"/>
        <v>62</v>
      </c>
      <c r="AK56" s="50"/>
    </row>
    <row r="57" spans="1:41" x14ac:dyDescent="0.25">
      <c r="A57" s="53" t="s">
        <v>65</v>
      </c>
      <c r="B57" s="64">
        <v>66</v>
      </c>
      <c r="C57" s="64">
        <v>65.5</v>
      </c>
      <c r="D57" s="64">
        <v>65.5</v>
      </c>
      <c r="E57" s="64">
        <v>65.5</v>
      </c>
      <c r="F57" s="64">
        <v>65.5</v>
      </c>
      <c r="G57" s="64">
        <v>65.5</v>
      </c>
      <c r="H57" s="64">
        <v>65.5</v>
      </c>
      <c r="I57" s="64">
        <v>65.5</v>
      </c>
      <c r="J57" s="64">
        <v>65.5</v>
      </c>
      <c r="K57" s="64">
        <v>65.5</v>
      </c>
      <c r="L57" s="64">
        <v>65.5</v>
      </c>
      <c r="M57" s="64">
        <v>65.099999999999994</v>
      </c>
      <c r="N57" s="64">
        <v>65.099999999999994</v>
      </c>
      <c r="O57" s="64">
        <v>65.099999999999994</v>
      </c>
      <c r="P57" s="64">
        <v>65.099999999999994</v>
      </c>
      <c r="Q57" s="64">
        <v>65.099999999999994</v>
      </c>
      <c r="R57" s="64">
        <v>65.099999999999994</v>
      </c>
      <c r="S57" s="64">
        <v>65.099999999999994</v>
      </c>
      <c r="T57" s="64">
        <v>65.099999999999994</v>
      </c>
      <c r="U57" s="64">
        <v>65.099999999999994</v>
      </c>
      <c r="V57" s="64">
        <v>65.099999999999994</v>
      </c>
      <c r="W57" s="64">
        <v>65.099999999999994</v>
      </c>
      <c r="X57" s="64">
        <v>65.099999999999994</v>
      </c>
      <c r="Y57" s="64">
        <v>65.099999999999994</v>
      </c>
      <c r="Z57" s="64">
        <v>65.099999999999994</v>
      </c>
      <c r="AA57" s="64">
        <v>65.099999999999994</v>
      </c>
      <c r="AB57" s="45">
        <v>66</v>
      </c>
      <c r="AC57" s="45">
        <v>66</v>
      </c>
      <c r="AD57" s="64">
        <v>66.099999999999994</v>
      </c>
      <c r="AE57" s="64">
        <v>66.099999999999994</v>
      </c>
      <c r="AF57" s="64">
        <v>64.7</v>
      </c>
      <c r="AG57" s="54">
        <v>69</v>
      </c>
      <c r="AH57" s="47">
        <f t="shared" si="2"/>
        <v>66.099999999999994</v>
      </c>
      <c r="AI57" s="48">
        <f t="shared" si="3"/>
        <v>64.7</v>
      </c>
      <c r="AK57" s="50"/>
    </row>
    <row r="58" spans="1:41" x14ac:dyDescent="0.25">
      <c r="A58" s="53" t="s">
        <v>66</v>
      </c>
      <c r="B58" s="64">
        <v>51</v>
      </c>
      <c r="C58" s="64">
        <v>60</v>
      </c>
      <c r="D58" s="64">
        <v>60</v>
      </c>
      <c r="E58" s="64">
        <v>60</v>
      </c>
      <c r="F58" s="64">
        <v>60</v>
      </c>
      <c r="G58" s="64">
        <v>60</v>
      </c>
      <c r="H58" s="64">
        <v>60</v>
      </c>
      <c r="I58" s="64">
        <v>60</v>
      </c>
      <c r="J58" s="64">
        <v>60</v>
      </c>
      <c r="K58" s="64">
        <v>60</v>
      </c>
      <c r="L58" s="64">
        <v>60</v>
      </c>
      <c r="M58" s="64">
        <v>60</v>
      </c>
      <c r="N58" s="64">
        <v>60</v>
      </c>
      <c r="O58" s="64">
        <v>60</v>
      </c>
      <c r="P58" s="64">
        <v>60</v>
      </c>
      <c r="Q58" s="64">
        <v>60</v>
      </c>
      <c r="R58" s="64">
        <v>60</v>
      </c>
      <c r="S58" s="64">
        <v>60</v>
      </c>
      <c r="T58" s="64">
        <v>60</v>
      </c>
      <c r="U58" s="64">
        <v>50</v>
      </c>
      <c r="V58" s="64">
        <v>50</v>
      </c>
      <c r="W58" s="64">
        <v>50</v>
      </c>
      <c r="X58" s="64">
        <v>50</v>
      </c>
      <c r="Y58" s="64">
        <v>50</v>
      </c>
      <c r="Z58" s="64">
        <v>50</v>
      </c>
      <c r="AA58" s="64">
        <v>50</v>
      </c>
      <c r="AB58" s="45">
        <v>61.2</v>
      </c>
      <c r="AC58" s="45">
        <v>61.2</v>
      </c>
      <c r="AD58" s="64">
        <v>61.2</v>
      </c>
      <c r="AE58" s="64">
        <v>61.2</v>
      </c>
      <c r="AF58" s="64">
        <v>61.2</v>
      </c>
      <c r="AG58" s="54">
        <v>60</v>
      </c>
      <c r="AH58" s="47">
        <f t="shared" si="2"/>
        <v>61.2</v>
      </c>
      <c r="AI58" s="48">
        <f t="shared" si="3"/>
        <v>50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>
        <v>29</v>
      </c>
      <c r="G59" s="64">
        <v>29</v>
      </c>
      <c r="H59" s="64">
        <v>29</v>
      </c>
      <c r="I59" s="64">
        <v>29</v>
      </c>
      <c r="J59" s="64">
        <v>29</v>
      </c>
      <c r="K59" s="64">
        <v>29</v>
      </c>
      <c r="L59" s="64">
        <v>29</v>
      </c>
      <c r="M59" s="64">
        <v>29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64">
        <v>29</v>
      </c>
      <c r="Z59" s="64">
        <v>29</v>
      </c>
      <c r="AA59" s="64">
        <v>29</v>
      </c>
      <c r="AB59" s="45">
        <v>29</v>
      </c>
      <c r="AC59" s="45">
        <v>29</v>
      </c>
      <c r="AD59" s="64">
        <v>29</v>
      </c>
      <c r="AE59" s="64">
        <v>29</v>
      </c>
      <c r="AF59" s="64">
        <v>29</v>
      </c>
      <c r="AG59" s="54">
        <v>30</v>
      </c>
      <c r="AH59" s="47">
        <f t="shared" si="2"/>
        <v>29</v>
      </c>
      <c r="AI59" s="48">
        <f t="shared" si="3"/>
        <v>29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4.7</v>
      </c>
      <c r="N60" s="64">
        <v>6.5</v>
      </c>
      <c r="O60" s="64">
        <v>11.4</v>
      </c>
      <c r="P60" s="64">
        <v>11.4</v>
      </c>
      <c r="Q60" s="64">
        <v>14.1</v>
      </c>
      <c r="R60" s="64">
        <v>14.1</v>
      </c>
      <c r="S60" s="64">
        <v>14.1</v>
      </c>
      <c r="T60" s="64">
        <v>10</v>
      </c>
      <c r="U60" s="64">
        <v>5</v>
      </c>
      <c r="V60" s="64">
        <v>0.4</v>
      </c>
      <c r="W60" s="64">
        <v>0.4</v>
      </c>
      <c r="X60" s="64">
        <v>0.4</v>
      </c>
      <c r="Y60" s="64">
        <v>0</v>
      </c>
      <c r="Z60" s="64">
        <v>0</v>
      </c>
      <c r="AA60" s="64">
        <v>0</v>
      </c>
      <c r="AB60" s="45">
        <v>0</v>
      </c>
      <c r="AC60" s="45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14.1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16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4.2</v>
      </c>
      <c r="N62" s="64">
        <v>4.2</v>
      </c>
      <c r="O62" s="64">
        <v>4.2</v>
      </c>
      <c r="P62" s="64">
        <v>0</v>
      </c>
      <c r="Q62" s="64">
        <v>0</v>
      </c>
      <c r="R62" s="64">
        <v>4.2</v>
      </c>
      <c r="S62" s="64">
        <v>4.2</v>
      </c>
      <c r="T62" s="64">
        <v>4.2</v>
      </c>
      <c r="U62" s="64">
        <v>4.2</v>
      </c>
      <c r="V62" s="64">
        <v>4.2</v>
      </c>
      <c r="W62" s="64">
        <v>4.2</v>
      </c>
      <c r="X62" s="64">
        <v>4.2</v>
      </c>
      <c r="Y62" s="64">
        <v>4.2</v>
      </c>
      <c r="Z62" s="64">
        <v>4.2</v>
      </c>
      <c r="AA62" s="64">
        <v>4.2</v>
      </c>
      <c r="AB62" s="64">
        <v>4.2</v>
      </c>
      <c r="AC62" s="64">
        <v>4.2</v>
      </c>
      <c r="AD62" s="64">
        <v>4.2</v>
      </c>
      <c r="AE62" s="64">
        <v>4.2</v>
      </c>
      <c r="AF62" s="64">
        <v>4.2</v>
      </c>
      <c r="AG62" s="54">
        <v>15</v>
      </c>
      <c r="AH62" s="47">
        <f t="shared" si="2"/>
        <v>4.2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10.3</v>
      </c>
      <c r="C63" s="64">
        <v>10.3</v>
      </c>
      <c r="D63" s="64">
        <v>10.3</v>
      </c>
      <c r="E63" s="64">
        <v>10.3</v>
      </c>
      <c r="F63" s="64">
        <v>10.3</v>
      </c>
      <c r="G63" s="64">
        <v>10.3</v>
      </c>
      <c r="H63" s="64">
        <v>10.3</v>
      </c>
      <c r="I63" s="64">
        <v>10.3</v>
      </c>
      <c r="J63" s="64">
        <v>10.3</v>
      </c>
      <c r="K63" s="64">
        <v>10.3</v>
      </c>
      <c r="L63" s="64">
        <v>10.3</v>
      </c>
      <c r="M63" s="64">
        <v>10.3</v>
      </c>
      <c r="N63" s="64">
        <v>10.3</v>
      </c>
      <c r="O63" s="64">
        <v>10.3</v>
      </c>
      <c r="P63" s="64">
        <v>10.3</v>
      </c>
      <c r="Q63" s="64">
        <v>10.3</v>
      </c>
      <c r="R63" s="64">
        <v>10.3</v>
      </c>
      <c r="S63" s="64">
        <v>10.3</v>
      </c>
      <c r="T63" s="64">
        <v>10.3</v>
      </c>
      <c r="U63" s="64">
        <v>10.3</v>
      </c>
      <c r="V63" s="64">
        <v>10.3</v>
      </c>
      <c r="W63" s="64">
        <v>10.3</v>
      </c>
      <c r="X63" s="64">
        <v>10.3</v>
      </c>
      <c r="Y63" s="64">
        <v>10.3</v>
      </c>
      <c r="Z63" s="64">
        <v>10.3</v>
      </c>
      <c r="AA63" s="64">
        <v>10.3</v>
      </c>
      <c r="AB63" s="64">
        <v>11.5</v>
      </c>
      <c r="AC63" s="64">
        <v>11.2</v>
      </c>
      <c r="AD63" s="64">
        <v>10.9</v>
      </c>
      <c r="AE63" s="64">
        <v>10.9</v>
      </c>
      <c r="AF63" s="64">
        <v>11.8</v>
      </c>
      <c r="AG63" s="54">
        <v>14.1</v>
      </c>
      <c r="AH63" s="47">
        <f t="shared" si="2"/>
        <v>11.8</v>
      </c>
      <c r="AI63" s="48">
        <f t="shared" si="3"/>
        <v>10.3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14</v>
      </c>
      <c r="D64" s="64">
        <v>14</v>
      </c>
      <c r="E64" s="64">
        <v>14</v>
      </c>
      <c r="F64" s="64">
        <v>14</v>
      </c>
      <c r="G64" s="64">
        <v>14</v>
      </c>
      <c r="H64" s="64">
        <v>14</v>
      </c>
      <c r="I64" s="64">
        <v>14</v>
      </c>
      <c r="J64" s="64">
        <v>14</v>
      </c>
      <c r="K64" s="64">
        <v>14</v>
      </c>
      <c r="L64" s="64">
        <v>14</v>
      </c>
      <c r="M64" s="64">
        <v>14</v>
      </c>
      <c r="N64" s="64">
        <v>14</v>
      </c>
      <c r="O64" s="64">
        <v>14</v>
      </c>
      <c r="P64" s="64">
        <v>14</v>
      </c>
      <c r="Q64" s="64">
        <v>14</v>
      </c>
      <c r="R64" s="64">
        <v>14</v>
      </c>
      <c r="S64" s="64">
        <v>14</v>
      </c>
      <c r="T64" s="64">
        <v>14</v>
      </c>
      <c r="U64" s="64">
        <v>14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>
        <v>13.9</v>
      </c>
      <c r="AC64" s="64">
        <v>13.8</v>
      </c>
      <c r="AD64" s="64">
        <v>4.0999999999999996</v>
      </c>
      <c r="AE64" s="64">
        <v>4.0999999999999996</v>
      </c>
      <c r="AF64" s="64">
        <v>11.8</v>
      </c>
      <c r="AG64" s="54">
        <v>14</v>
      </c>
      <c r="AH64" s="47">
        <f t="shared" si="2"/>
        <v>14</v>
      </c>
      <c r="AI64" s="48">
        <f t="shared" si="3"/>
        <v>4.0999999999999996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v>412.24</v>
      </c>
      <c r="C68" s="60">
        <f t="shared" ref="C68:AG68" si="8">SUM(C55:C67)</f>
        <v>428.74</v>
      </c>
      <c r="D68" s="60">
        <f t="shared" ref="D68:I68" si="9">SUM(D55:D67)</f>
        <v>428.74</v>
      </c>
      <c r="E68" s="60">
        <f t="shared" si="9"/>
        <v>428.74</v>
      </c>
      <c r="F68" s="60">
        <f t="shared" si="9"/>
        <v>428.74</v>
      </c>
      <c r="G68" s="60">
        <f t="shared" si="9"/>
        <v>428.74</v>
      </c>
      <c r="H68" s="60">
        <f t="shared" si="9"/>
        <v>428.74</v>
      </c>
      <c r="I68" s="60">
        <f t="shared" si="9"/>
        <v>428.74</v>
      </c>
      <c r="J68" s="60">
        <f>SUM(J55:J67)</f>
        <v>428.74</v>
      </c>
      <c r="K68" s="60">
        <f>SUM(K55:K67)</f>
        <v>428.74</v>
      </c>
      <c r="L68" s="60">
        <f>SUM(L55:L67)</f>
        <v>428.74</v>
      </c>
      <c r="M68" s="60">
        <f t="shared" si="8"/>
        <v>432.64</v>
      </c>
      <c r="N68" s="60">
        <f t="shared" si="8"/>
        <v>434.44</v>
      </c>
      <c r="O68" s="60">
        <f t="shared" si="8"/>
        <v>437.34</v>
      </c>
      <c r="P68" s="60">
        <f>SUM(P55:P67)</f>
        <v>433.14</v>
      </c>
      <c r="Q68" s="60">
        <f t="shared" si="8"/>
        <v>435.84000000000003</v>
      </c>
      <c r="R68" s="60">
        <f t="shared" si="8"/>
        <v>440.04</v>
      </c>
      <c r="S68" s="60">
        <f t="shared" si="8"/>
        <v>439.04</v>
      </c>
      <c r="T68" s="60">
        <f t="shared" si="8"/>
        <v>433.54</v>
      </c>
      <c r="U68" s="60">
        <f t="shared" si="8"/>
        <v>418.54</v>
      </c>
      <c r="V68" s="60">
        <f t="shared" si="8"/>
        <v>413.94</v>
      </c>
      <c r="W68" s="60">
        <f t="shared" si="8"/>
        <v>413.94</v>
      </c>
      <c r="X68" s="60">
        <f t="shared" si="8"/>
        <v>413.94</v>
      </c>
      <c r="Y68" s="60">
        <f t="shared" si="8"/>
        <v>413.54</v>
      </c>
      <c r="Z68" s="60">
        <f t="shared" si="8"/>
        <v>413.54</v>
      </c>
      <c r="AA68" s="60">
        <f t="shared" si="8"/>
        <v>413.54</v>
      </c>
      <c r="AB68" s="60">
        <f t="shared" si="8"/>
        <v>431.73999999999995</v>
      </c>
      <c r="AC68" s="60">
        <f t="shared" si="8"/>
        <v>431.73999999999995</v>
      </c>
      <c r="AD68" s="60">
        <f t="shared" si="8"/>
        <v>422.13999999999993</v>
      </c>
      <c r="AE68" s="60">
        <f>SUM(AE55:AE67)</f>
        <v>422.13999999999993</v>
      </c>
      <c r="AF68" s="60">
        <f>SUM(AF55:AF67)</f>
        <v>429.64</v>
      </c>
      <c r="AG68" s="61">
        <f t="shared" si="8"/>
        <v>489.91</v>
      </c>
      <c r="AH68" s="47">
        <f t="shared" si="2"/>
        <v>440.04</v>
      </c>
      <c r="AI68" s="48">
        <f t="shared" si="3"/>
        <v>412.24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14</v>
      </c>
      <c r="N69" s="45">
        <v>20</v>
      </c>
      <c r="O69" s="45">
        <v>20</v>
      </c>
      <c r="P69" s="45">
        <v>14</v>
      </c>
      <c r="Q69" s="45">
        <v>14</v>
      </c>
      <c r="R69" s="45">
        <v>10</v>
      </c>
      <c r="S69" s="45"/>
      <c r="T69" s="45"/>
      <c r="U69" s="45"/>
      <c r="V69" s="45"/>
      <c r="W69" s="45"/>
      <c r="X69" s="45"/>
      <c r="Y69" s="45"/>
      <c r="Z69" s="45">
        <v>10</v>
      </c>
      <c r="AA69" s="45">
        <v>10</v>
      </c>
      <c r="AB69" s="45">
        <v>0</v>
      </c>
      <c r="AC69" s="45"/>
      <c r="AD69" s="45"/>
      <c r="AE69" s="45"/>
      <c r="AF69" s="45"/>
      <c r="AG69" s="51">
        <v>60</v>
      </c>
      <c r="AH69" s="47">
        <f t="shared" si="2"/>
        <v>20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64">
        <v>6.8</v>
      </c>
      <c r="N70" s="64">
        <v>10.3</v>
      </c>
      <c r="O70" s="64">
        <v>10.199999999999999</v>
      </c>
      <c r="P70" s="64">
        <v>6.9</v>
      </c>
      <c r="Q70" s="64">
        <v>6.9</v>
      </c>
      <c r="R70" s="64">
        <v>6.9</v>
      </c>
      <c r="S70" s="64"/>
      <c r="T70" s="64"/>
      <c r="U70" s="64"/>
      <c r="V70" s="64"/>
      <c r="W70" s="64"/>
      <c r="X70" s="64"/>
      <c r="Y70" s="64"/>
      <c r="Z70" s="64">
        <v>2.8</v>
      </c>
      <c r="AA70" s="64">
        <v>2.8</v>
      </c>
      <c r="AB70" s="64">
        <v>0</v>
      </c>
      <c r="AC70" s="64"/>
      <c r="AD70" s="64"/>
      <c r="AE70" s="64"/>
      <c r="AF70" s="64"/>
      <c r="AG70" s="54">
        <v>32</v>
      </c>
      <c r="AH70" s="47">
        <f t="shared" si="2"/>
        <v>10.3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66">
        <v>2.5</v>
      </c>
      <c r="N71" s="66">
        <v>3.8</v>
      </c>
      <c r="O71" s="66">
        <v>3.7</v>
      </c>
      <c r="P71" s="66">
        <v>2.5</v>
      </c>
      <c r="Q71" s="66">
        <v>2.5</v>
      </c>
      <c r="R71" s="66">
        <v>2.5</v>
      </c>
      <c r="S71" s="66"/>
      <c r="T71" s="66"/>
      <c r="U71" s="66"/>
      <c r="V71" s="66"/>
      <c r="W71" s="66"/>
      <c r="X71" s="66"/>
      <c r="Y71" s="66"/>
      <c r="Z71" s="66">
        <v>1</v>
      </c>
      <c r="AA71" s="66">
        <v>1</v>
      </c>
      <c r="AB71" s="66">
        <v>0</v>
      </c>
      <c r="AC71" s="66"/>
      <c r="AD71" s="66"/>
      <c r="AE71" s="66"/>
      <c r="AF71" s="66"/>
      <c r="AG71" s="67">
        <v>14</v>
      </c>
      <c r="AH71" s="47">
        <f t="shared" si="2"/>
        <v>3.8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f t="shared" ref="M72:AD72" si="10">M69+M70+M71</f>
        <v>23.3</v>
      </c>
      <c r="N72" s="60">
        <f t="shared" si="10"/>
        <v>34.1</v>
      </c>
      <c r="O72" s="60">
        <f t="shared" si="10"/>
        <v>33.9</v>
      </c>
      <c r="P72" s="60">
        <f>P69+P70+P71</f>
        <v>23.4</v>
      </c>
      <c r="Q72" s="60">
        <f t="shared" si="10"/>
        <v>23.4</v>
      </c>
      <c r="R72" s="60">
        <f t="shared" si="10"/>
        <v>19.399999999999999</v>
      </c>
      <c r="S72" s="60">
        <f t="shared" si="10"/>
        <v>0</v>
      </c>
      <c r="T72" s="60">
        <f t="shared" si="10"/>
        <v>0</v>
      </c>
      <c r="U72" s="60">
        <f t="shared" si="10"/>
        <v>0</v>
      </c>
      <c r="V72" s="60">
        <f t="shared" si="10"/>
        <v>0</v>
      </c>
      <c r="W72" s="60">
        <f t="shared" si="10"/>
        <v>0</v>
      </c>
      <c r="X72" s="60">
        <f t="shared" si="10"/>
        <v>0</v>
      </c>
      <c r="Y72" s="60">
        <f t="shared" si="10"/>
        <v>0</v>
      </c>
      <c r="Z72" s="60">
        <f t="shared" si="10"/>
        <v>13.8</v>
      </c>
      <c r="AA72" s="60">
        <f t="shared" si="10"/>
        <v>13.8</v>
      </c>
      <c r="AB72" s="60">
        <f t="shared" si="10"/>
        <v>0</v>
      </c>
      <c r="AC72" s="60">
        <f t="shared" si="10"/>
        <v>0</v>
      </c>
      <c r="AD72" s="60">
        <f t="shared" si="10"/>
        <v>0</v>
      </c>
      <c r="AE72" s="60">
        <f>AE69+AE70+AE71</f>
        <v>0</v>
      </c>
      <c r="AF72" s="60">
        <f>AF69+AF70+AF71</f>
        <v>0</v>
      </c>
      <c r="AG72" s="61">
        <f>SUM(AG69:AG71)</f>
        <v>106</v>
      </c>
      <c r="AH72" s="47">
        <f t="shared" si="2"/>
        <v>34.1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-18</v>
      </c>
      <c r="C73" s="45">
        <v>-15</v>
      </c>
      <c r="D73" s="45">
        <v>-12</v>
      </c>
      <c r="E73" s="45">
        <v>-20.2</v>
      </c>
      <c r="F73" s="45">
        <v>-22.7</v>
      </c>
      <c r="G73" s="45">
        <v>-21.8</v>
      </c>
      <c r="H73" s="45">
        <v>-20.6</v>
      </c>
      <c r="I73" s="45">
        <v>-21.9</v>
      </c>
      <c r="J73" s="45">
        <v>-27</v>
      </c>
      <c r="K73" s="45">
        <v>-30</v>
      </c>
      <c r="L73" s="45">
        <v>-30</v>
      </c>
      <c r="M73" s="45">
        <v>-28.7</v>
      </c>
      <c r="N73" s="45">
        <v>-26.5</v>
      </c>
      <c r="O73" s="45">
        <v>-20.399999999999999</v>
      </c>
      <c r="P73" s="45">
        <v>-6.2</v>
      </c>
      <c r="Q73" s="45">
        <v>-18.100000000000001</v>
      </c>
      <c r="R73" s="45">
        <v>-18.7</v>
      </c>
      <c r="S73" s="45">
        <v>-16</v>
      </c>
      <c r="T73" s="45">
        <v>-13</v>
      </c>
      <c r="U73" s="45">
        <v>-51.2</v>
      </c>
      <c r="V73" s="45">
        <v>-56.2</v>
      </c>
      <c r="W73" s="45">
        <v>-60</v>
      </c>
      <c r="X73" s="45">
        <v>-53</v>
      </c>
      <c r="Y73" s="45">
        <v>-25</v>
      </c>
      <c r="Z73" s="45">
        <v>-8.4</v>
      </c>
      <c r="AA73" s="45">
        <v>-2.5</v>
      </c>
      <c r="AB73" s="45">
        <v>0</v>
      </c>
      <c r="AC73" s="45">
        <v>-35</v>
      </c>
      <c r="AD73" s="45">
        <v>-36</v>
      </c>
      <c r="AE73" s="45">
        <v>-36</v>
      </c>
      <c r="AF73" s="45">
        <v>-43.8</v>
      </c>
      <c r="AG73" s="51"/>
      <c r="AH73" s="47">
        <f t="shared" si="2"/>
        <v>0</v>
      </c>
      <c r="AI73" s="48">
        <f t="shared" si="3"/>
        <v>-60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>
        <v>0</v>
      </c>
      <c r="T74" s="64">
        <v>0</v>
      </c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-470</v>
      </c>
      <c r="C75" s="64">
        <v>-469</v>
      </c>
      <c r="D75" s="64">
        <v>-474</v>
      </c>
      <c r="E75" s="64">
        <v>-469</v>
      </c>
      <c r="F75" s="64">
        <v>-499.1</v>
      </c>
      <c r="G75" s="64">
        <v>-515.20000000000005</v>
      </c>
      <c r="H75" s="64">
        <v>-498</v>
      </c>
      <c r="I75" s="64">
        <v>-510.6</v>
      </c>
      <c r="J75" s="64">
        <v>-515.6</v>
      </c>
      <c r="K75" s="64">
        <v>-470</v>
      </c>
      <c r="L75" s="64">
        <v>-480</v>
      </c>
      <c r="M75" s="64">
        <v>-501</v>
      </c>
      <c r="N75" s="64">
        <v>-466.7</v>
      </c>
      <c r="O75" s="64">
        <v>-515.20000000000005</v>
      </c>
      <c r="P75" s="64">
        <v>-504</v>
      </c>
      <c r="Q75" s="64">
        <v>-512.79999999999995</v>
      </c>
      <c r="R75" s="64">
        <v>-515.4</v>
      </c>
      <c r="S75" s="64">
        <v>-478</v>
      </c>
      <c r="T75" s="64">
        <v>-493</v>
      </c>
      <c r="U75" s="64">
        <v>-483</v>
      </c>
      <c r="V75" s="64">
        <v>-529</v>
      </c>
      <c r="W75" s="64">
        <v>-489</v>
      </c>
      <c r="X75" s="64">
        <v>-479</v>
      </c>
      <c r="Y75" s="64">
        <v>-453</v>
      </c>
      <c r="Z75" s="64">
        <v>-472</v>
      </c>
      <c r="AA75" s="64">
        <v>-490</v>
      </c>
      <c r="AB75" s="64">
        <v>-469.8</v>
      </c>
      <c r="AC75" s="64">
        <v>-476.9</v>
      </c>
      <c r="AD75" s="64">
        <v>-514</v>
      </c>
      <c r="AE75" s="64">
        <v>-514</v>
      </c>
      <c r="AF75" s="64">
        <v>-510</v>
      </c>
      <c r="AG75" s="74"/>
      <c r="AH75" s="47">
        <f t="shared" si="2"/>
        <v>-453</v>
      </c>
      <c r="AI75" s="48">
        <f t="shared" si="3"/>
        <v>-529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1">MAX(B77:AF77)</f>
        <v>0</v>
      </c>
      <c r="AI77" s="48">
        <f t="shared" ref="AI77:AI120" si="12">MIN(B77:AF77)</f>
        <v>0</v>
      </c>
      <c r="AK77" s="50"/>
    </row>
    <row r="78" spans="1:40" x14ac:dyDescent="0.25">
      <c r="A78" s="53" t="s">
        <v>86</v>
      </c>
      <c r="B78" s="45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0</v>
      </c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1"/>
        <v>0</v>
      </c>
      <c r="AI78" s="48">
        <f t="shared" si="12"/>
        <v>0</v>
      </c>
      <c r="AK78" s="50"/>
    </row>
    <row r="79" spans="1:40" ht="15.75" thickBot="1" x14ac:dyDescent="0.3">
      <c r="A79" s="53" t="s">
        <v>87</v>
      </c>
      <c r="B79" s="45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0</v>
      </c>
      <c r="T79" s="76">
        <v>0</v>
      </c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1"/>
        <v>0</v>
      </c>
      <c r="AI79" s="48">
        <f t="shared" si="12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>
        <v>0</v>
      </c>
      <c r="T80" s="76">
        <v>0</v>
      </c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1"/>
        <v>0</v>
      </c>
      <c r="AI80" s="48">
        <f t="shared" si="12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>
        <v>0</v>
      </c>
      <c r="T81" s="76">
        <v>0</v>
      </c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1"/>
        <v>0</v>
      </c>
      <c r="AI81" s="48">
        <f t="shared" si="12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>
        <v>0</v>
      </c>
      <c r="T82" s="76">
        <v>0</v>
      </c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1"/>
        <v>0</v>
      </c>
      <c r="AI82" s="48">
        <f t="shared" si="12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1"/>
        <v>0</v>
      </c>
      <c r="AI83" s="48">
        <f t="shared" si="12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0</v>
      </c>
      <c r="C84" s="60">
        <f t="shared" ref="C84:AF84" si="13">SUMIF(C73:C83,"&gt;0")</f>
        <v>0</v>
      </c>
      <c r="D84" s="60">
        <f>SUMIF(D73:D83,"&gt;0")</f>
        <v>0</v>
      </c>
      <c r="E84" s="60">
        <f t="shared" si="13"/>
        <v>0</v>
      </c>
      <c r="F84" s="60">
        <f t="shared" si="13"/>
        <v>0</v>
      </c>
      <c r="G84" s="60">
        <f t="shared" si="13"/>
        <v>0</v>
      </c>
      <c r="H84" s="60">
        <f t="shared" si="13"/>
        <v>0</v>
      </c>
      <c r="I84" s="60">
        <f t="shared" si="13"/>
        <v>0</v>
      </c>
      <c r="J84" s="60">
        <f t="shared" si="13"/>
        <v>0</v>
      </c>
      <c r="K84" s="60">
        <f>SUMIF(K73:K83,"&gt;0")</f>
        <v>0</v>
      </c>
      <c r="L84" s="60">
        <f>SUMIF(L73:L83,"&gt;0")</f>
        <v>0</v>
      </c>
      <c r="M84" s="60">
        <f t="shared" si="13"/>
        <v>0</v>
      </c>
      <c r="N84" s="60">
        <f t="shared" si="13"/>
        <v>0</v>
      </c>
      <c r="O84" s="60">
        <f t="shared" si="13"/>
        <v>0</v>
      </c>
      <c r="P84" s="60">
        <f>SUMIF(P73:P83,"&gt;0")</f>
        <v>0</v>
      </c>
      <c r="Q84" s="60">
        <f t="shared" si="13"/>
        <v>0</v>
      </c>
      <c r="R84" s="60">
        <f t="shared" si="13"/>
        <v>0</v>
      </c>
      <c r="S84" s="60">
        <f t="shared" si="13"/>
        <v>0</v>
      </c>
      <c r="T84" s="60">
        <f t="shared" si="13"/>
        <v>0</v>
      </c>
      <c r="U84" s="60">
        <f t="shared" si="13"/>
        <v>0</v>
      </c>
      <c r="V84" s="60">
        <f t="shared" si="13"/>
        <v>0</v>
      </c>
      <c r="W84" s="60">
        <f t="shared" si="13"/>
        <v>0</v>
      </c>
      <c r="X84" s="60">
        <f t="shared" si="13"/>
        <v>0</v>
      </c>
      <c r="Y84" s="60">
        <f t="shared" si="13"/>
        <v>0</v>
      </c>
      <c r="Z84" s="60">
        <f t="shared" si="13"/>
        <v>0</v>
      </c>
      <c r="AA84" s="60">
        <f t="shared" si="13"/>
        <v>0</v>
      </c>
      <c r="AB84" s="60">
        <f t="shared" si="13"/>
        <v>0</v>
      </c>
      <c r="AC84" s="60">
        <f t="shared" si="13"/>
        <v>0</v>
      </c>
      <c r="AD84" s="60">
        <f t="shared" si="13"/>
        <v>0</v>
      </c>
      <c r="AE84" s="60">
        <f t="shared" si="13"/>
        <v>0</v>
      </c>
      <c r="AF84" s="60">
        <f t="shared" si="13"/>
        <v>0</v>
      </c>
      <c r="AG84" s="87">
        <f>SUM(AG73:AG83)</f>
        <v>0</v>
      </c>
      <c r="AH84" s="47">
        <f t="shared" si="11"/>
        <v>0</v>
      </c>
      <c r="AI84" s="48">
        <f t="shared" si="12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1"/>
        <v>0</v>
      </c>
      <c r="AI85" s="48">
        <f t="shared" si="12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1"/>
        <v>0</v>
      </c>
      <c r="AI86" s="48">
        <f t="shared" si="12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1"/>
        <v>0</v>
      </c>
      <c r="AI87" s="48">
        <f t="shared" si="12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1"/>
        <v>0</v>
      </c>
      <c r="AI88" s="48">
        <f t="shared" si="12"/>
        <v>0</v>
      </c>
    </row>
    <row r="89" spans="1:40" ht="15.75" thickBot="1" x14ac:dyDescent="0.3">
      <c r="A89" s="73" t="s">
        <v>100</v>
      </c>
      <c r="B89" s="94">
        <v>1970.44</v>
      </c>
      <c r="C89" s="94">
        <f t="shared" ref="C89:AG89" si="14">C50+C54+C72+C68+C84+C88</f>
        <v>2001.94</v>
      </c>
      <c r="D89" s="94">
        <f>D50+D54+D72+D68+D84+D88</f>
        <v>2001.94</v>
      </c>
      <c r="E89" s="94">
        <f t="shared" si="14"/>
        <v>2001.94</v>
      </c>
      <c r="F89" s="94">
        <f t="shared" si="14"/>
        <v>2001.94</v>
      </c>
      <c r="G89" s="94">
        <f t="shared" si="14"/>
        <v>2001.94</v>
      </c>
      <c r="H89" s="94">
        <f t="shared" si="14"/>
        <v>2009.94</v>
      </c>
      <c r="I89" s="94">
        <f t="shared" si="14"/>
        <v>2009.94</v>
      </c>
      <c r="J89" s="94">
        <f t="shared" si="14"/>
        <v>2009.94</v>
      </c>
      <c r="K89" s="94">
        <f>K50+K54+K72+K68+K84+K88</f>
        <v>2013.44</v>
      </c>
      <c r="L89" s="94">
        <f>L50+L54+L72+L68+L84+L88</f>
        <v>2074.94</v>
      </c>
      <c r="M89" s="94">
        <f t="shared" si="14"/>
        <v>2139.84</v>
      </c>
      <c r="N89" s="94">
        <f t="shared" si="14"/>
        <v>2134.94</v>
      </c>
      <c r="O89" s="94">
        <f t="shared" si="14"/>
        <v>2132.7400000000002</v>
      </c>
      <c r="P89" s="94">
        <f>P50+P54+P72+P68+P84+P88</f>
        <v>2126.84</v>
      </c>
      <c r="Q89" s="94">
        <f t="shared" si="14"/>
        <v>2116.1400000000003</v>
      </c>
      <c r="R89" s="94">
        <f t="shared" si="14"/>
        <v>2120.34</v>
      </c>
      <c r="S89" s="94">
        <f t="shared" si="14"/>
        <v>2085.94</v>
      </c>
      <c r="T89" s="94">
        <f t="shared" si="14"/>
        <v>2074.7400000000002</v>
      </c>
      <c r="U89" s="94">
        <f t="shared" si="14"/>
        <v>2083.14</v>
      </c>
      <c r="V89" s="94">
        <f t="shared" si="14"/>
        <v>2078.54</v>
      </c>
      <c r="W89" s="94">
        <f t="shared" si="14"/>
        <v>2078.54</v>
      </c>
      <c r="X89" s="94">
        <f t="shared" si="14"/>
        <v>2078.54</v>
      </c>
      <c r="Y89" s="94">
        <f t="shared" si="14"/>
        <v>2159.64</v>
      </c>
      <c r="Z89" s="94">
        <f t="shared" si="14"/>
        <v>2169.44</v>
      </c>
      <c r="AA89" s="94">
        <f t="shared" si="14"/>
        <v>2148.94</v>
      </c>
      <c r="AB89" s="94">
        <f t="shared" si="14"/>
        <v>2113.8399999999997</v>
      </c>
      <c r="AC89" s="94">
        <f t="shared" si="14"/>
        <v>2115.3399999999997</v>
      </c>
      <c r="AD89" s="94">
        <f t="shared" si="14"/>
        <v>2101.7399999999998</v>
      </c>
      <c r="AE89" s="94">
        <f t="shared" si="14"/>
        <v>2101.7399999999998</v>
      </c>
      <c r="AF89" s="94">
        <f t="shared" si="14"/>
        <v>2024.8400000000001</v>
      </c>
      <c r="AG89" s="61">
        <f t="shared" si="14"/>
        <v>2111.5500000000002</v>
      </c>
      <c r="AH89" s="47">
        <f t="shared" si="11"/>
        <v>2169.44</v>
      </c>
      <c r="AI89" s="48">
        <f t="shared" si="12"/>
        <v>1970.44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1"/>
        <v>0</v>
      </c>
      <c r="AI90" s="48">
        <f t="shared" si="12"/>
        <v>0</v>
      </c>
    </row>
    <row r="91" spans="1:40" ht="15.75" thickBot="1" x14ac:dyDescent="0.3">
      <c r="A91" s="73" t="s">
        <v>102</v>
      </c>
      <c r="B91" s="94">
        <v>1970.44</v>
      </c>
      <c r="C91" s="94">
        <f t="shared" ref="C91:AF91" si="15">C89+C90</f>
        <v>2001.94</v>
      </c>
      <c r="D91" s="94">
        <f>D89+D90</f>
        <v>2001.94</v>
      </c>
      <c r="E91" s="94">
        <f t="shared" si="15"/>
        <v>2001.94</v>
      </c>
      <c r="F91" s="94">
        <f t="shared" si="15"/>
        <v>2001.94</v>
      </c>
      <c r="G91" s="94">
        <f t="shared" si="15"/>
        <v>2001.94</v>
      </c>
      <c r="H91" s="94">
        <f t="shared" si="15"/>
        <v>2009.94</v>
      </c>
      <c r="I91" s="94">
        <f t="shared" si="15"/>
        <v>2009.94</v>
      </c>
      <c r="J91" s="94">
        <f t="shared" si="15"/>
        <v>2009.94</v>
      </c>
      <c r="K91" s="94">
        <f>K89+K90</f>
        <v>2013.44</v>
      </c>
      <c r="L91" s="94">
        <f>L89+L90</f>
        <v>2074.94</v>
      </c>
      <c r="M91" s="94">
        <f t="shared" si="15"/>
        <v>2139.84</v>
      </c>
      <c r="N91" s="94">
        <f t="shared" si="15"/>
        <v>2134.94</v>
      </c>
      <c r="O91" s="94">
        <f t="shared" si="15"/>
        <v>2132.7400000000002</v>
      </c>
      <c r="P91" s="94">
        <f>P89+P90</f>
        <v>2126.84</v>
      </c>
      <c r="Q91" s="94">
        <f t="shared" si="15"/>
        <v>2116.1400000000003</v>
      </c>
      <c r="R91" s="94">
        <f t="shared" si="15"/>
        <v>2120.34</v>
      </c>
      <c r="S91" s="94">
        <f t="shared" si="15"/>
        <v>2085.94</v>
      </c>
      <c r="T91" s="94">
        <f t="shared" si="15"/>
        <v>2074.7400000000002</v>
      </c>
      <c r="U91" s="94">
        <f t="shared" si="15"/>
        <v>2083.14</v>
      </c>
      <c r="V91" s="94">
        <f t="shared" si="15"/>
        <v>2078.54</v>
      </c>
      <c r="W91" s="94">
        <f t="shared" si="15"/>
        <v>2078.54</v>
      </c>
      <c r="X91" s="94">
        <f t="shared" si="15"/>
        <v>2078.54</v>
      </c>
      <c r="Y91" s="94">
        <f t="shared" si="15"/>
        <v>2159.64</v>
      </c>
      <c r="Z91" s="94">
        <f t="shared" si="15"/>
        <v>2169.44</v>
      </c>
      <c r="AA91" s="94">
        <f t="shared" si="15"/>
        <v>2148.94</v>
      </c>
      <c r="AB91" s="94">
        <f t="shared" si="15"/>
        <v>2113.8399999999997</v>
      </c>
      <c r="AC91" s="94">
        <f t="shared" si="15"/>
        <v>2115.3399999999997</v>
      </c>
      <c r="AD91" s="94">
        <f t="shared" si="15"/>
        <v>2101.7399999999998</v>
      </c>
      <c r="AE91" s="94">
        <f t="shared" si="15"/>
        <v>2101.7399999999998</v>
      </c>
      <c r="AF91" s="94">
        <f t="shared" si="15"/>
        <v>2024.8400000000001</v>
      </c>
      <c r="AG91" s="87">
        <f>AG88+AG84+AG72+AG68+AG50+AG90</f>
        <v>1573.45</v>
      </c>
      <c r="AH91" s="47">
        <f t="shared" si="11"/>
        <v>2169.44</v>
      </c>
      <c r="AI91" s="48">
        <f t="shared" si="12"/>
        <v>1970.44</v>
      </c>
    </row>
    <row r="92" spans="1:40" ht="15.75" thickBot="1" x14ac:dyDescent="0.3">
      <c r="A92" s="73" t="s">
        <v>103</v>
      </c>
      <c r="B92" s="94">
        <v>1549.44</v>
      </c>
      <c r="C92" s="94">
        <f t="shared" ref="C92:AF92" si="16">C91-(-C99)</f>
        <v>1532.94</v>
      </c>
      <c r="D92" s="94">
        <f>D91-(-D99)</f>
        <v>1527.94</v>
      </c>
      <c r="E92" s="94">
        <f t="shared" si="16"/>
        <v>1532.94</v>
      </c>
      <c r="F92" s="94">
        <f t="shared" si="16"/>
        <v>1502.8400000000001</v>
      </c>
      <c r="G92" s="94">
        <f t="shared" si="16"/>
        <v>1486.74</v>
      </c>
      <c r="H92" s="94">
        <f t="shared" si="16"/>
        <v>1511.94</v>
      </c>
      <c r="I92" s="94">
        <f t="shared" si="16"/>
        <v>1499.3400000000001</v>
      </c>
      <c r="J92" s="94">
        <f t="shared" si="16"/>
        <v>1494.3400000000001</v>
      </c>
      <c r="K92" s="94">
        <f>K91-(-K99)</f>
        <v>1543.44</v>
      </c>
      <c r="L92" s="94">
        <f>L91-(-L99)</f>
        <v>1594.94</v>
      </c>
      <c r="M92" s="94">
        <f t="shared" si="16"/>
        <v>1638.8400000000001</v>
      </c>
      <c r="N92" s="94">
        <f t="shared" si="16"/>
        <v>1668.24</v>
      </c>
      <c r="O92" s="94">
        <f t="shared" si="16"/>
        <v>1617.5400000000002</v>
      </c>
      <c r="P92" s="94">
        <f>P91-(-P99)</f>
        <v>1622.8400000000001</v>
      </c>
      <c r="Q92" s="94">
        <f t="shared" si="16"/>
        <v>1603.3400000000004</v>
      </c>
      <c r="R92" s="94">
        <f t="shared" si="16"/>
        <v>1604.94</v>
      </c>
      <c r="S92" s="94">
        <f t="shared" si="16"/>
        <v>1607.94</v>
      </c>
      <c r="T92" s="94">
        <f t="shared" si="16"/>
        <v>1581.7400000000002</v>
      </c>
      <c r="U92" s="94">
        <f t="shared" si="16"/>
        <v>1600.1399999999999</v>
      </c>
      <c r="V92" s="94">
        <f t="shared" si="16"/>
        <v>1549.54</v>
      </c>
      <c r="W92" s="94">
        <f t="shared" si="16"/>
        <v>1589.54</v>
      </c>
      <c r="X92" s="94">
        <f t="shared" si="16"/>
        <v>1599.54</v>
      </c>
      <c r="Y92" s="94">
        <f t="shared" si="16"/>
        <v>1706.6399999999999</v>
      </c>
      <c r="Z92" s="94">
        <f t="shared" si="16"/>
        <v>1697.44</v>
      </c>
      <c r="AA92" s="94">
        <f t="shared" si="16"/>
        <v>1658.94</v>
      </c>
      <c r="AB92" s="94">
        <f t="shared" si="16"/>
        <v>1644.0399999999997</v>
      </c>
      <c r="AC92" s="94">
        <f t="shared" si="16"/>
        <v>1638.4399999999996</v>
      </c>
      <c r="AD92" s="94">
        <f t="shared" si="16"/>
        <v>1587.7399999999998</v>
      </c>
      <c r="AE92" s="94">
        <f t="shared" si="16"/>
        <v>1587.7399999999998</v>
      </c>
      <c r="AF92" s="94">
        <f t="shared" si="16"/>
        <v>1514.8400000000001</v>
      </c>
      <c r="AG92" s="87"/>
      <c r="AH92" s="47">
        <f t="shared" si="11"/>
        <v>1706.6399999999999</v>
      </c>
      <c r="AI92" s="48">
        <f t="shared" si="12"/>
        <v>1486.74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1"/>
        <v>0</v>
      </c>
      <c r="AI93" s="48">
        <f t="shared" si="12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1"/>
        <v>0</v>
      </c>
      <c r="AI94" s="48">
        <f t="shared" si="12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1"/>
        <v>0</v>
      </c>
      <c r="AI95" s="48">
        <f t="shared" si="12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1"/>
        <v>0</v>
      </c>
      <c r="AI96" s="48">
        <f t="shared" si="12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1"/>
        <v>0</v>
      </c>
      <c r="AI97" s="48">
        <f t="shared" si="12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1"/>
        <v>0</v>
      </c>
      <c r="AI98" s="48">
        <f t="shared" si="12"/>
        <v>0</v>
      </c>
    </row>
    <row r="99" spans="1:37" ht="15.75" thickBot="1" x14ac:dyDescent="0.3">
      <c r="A99" s="98" t="s">
        <v>107</v>
      </c>
      <c r="B99" s="60">
        <v>-421</v>
      </c>
      <c r="C99" s="60">
        <f t="shared" ref="C99:AF99" si="17">C75</f>
        <v>-469</v>
      </c>
      <c r="D99" s="60">
        <f>D75</f>
        <v>-474</v>
      </c>
      <c r="E99" s="60">
        <f t="shared" si="17"/>
        <v>-469</v>
      </c>
      <c r="F99" s="60">
        <f t="shared" si="17"/>
        <v>-499.1</v>
      </c>
      <c r="G99" s="60">
        <f t="shared" si="17"/>
        <v>-515.20000000000005</v>
      </c>
      <c r="H99" s="60">
        <f t="shared" si="17"/>
        <v>-498</v>
      </c>
      <c r="I99" s="60">
        <f t="shared" si="17"/>
        <v>-510.6</v>
      </c>
      <c r="J99" s="60">
        <f t="shared" si="17"/>
        <v>-515.6</v>
      </c>
      <c r="K99" s="60">
        <f>K75</f>
        <v>-470</v>
      </c>
      <c r="L99" s="60">
        <f>L75</f>
        <v>-480</v>
      </c>
      <c r="M99" s="60">
        <f t="shared" si="17"/>
        <v>-501</v>
      </c>
      <c r="N99" s="60">
        <f t="shared" si="17"/>
        <v>-466.7</v>
      </c>
      <c r="O99" s="60">
        <f t="shared" si="17"/>
        <v>-515.20000000000005</v>
      </c>
      <c r="P99" s="60">
        <f>P75</f>
        <v>-504</v>
      </c>
      <c r="Q99" s="60">
        <f t="shared" si="17"/>
        <v>-512.79999999999995</v>
      </c>
      <c r="R99" s="60">
        <f t="shared" si="17"/>
        <v>-515.4</v>
      </c>
      <c r="S99" s="60">
        <f t="shared" si="17"/>
        <v>-478</v>
      </c>
      <c r="T99" s="60">
        <f t="shared" si="17"/>
        <v>-493</v>
      </c>
      <c r="U99" s="60">
        <f t="shared" si="17"/>
        <v>-483</v>
      </c>
      <c r="V99" s="60">
        <f t="shared" si="17"/>
        <v>-529</v>
      </c>
      <c r="W99" s="60">
        <f t="shared" si="17"/>
        <v>-489</v>
      </c>
      <c r="X99" s="60">
        <f t="shared" si="17"/>
        <v>-479</v>
      </c>
      <c r="Y99" s="60">
        <f t="shared" si="17"/>
        <v>-453</v>
      </c>
      <c r="Z99" s="60">
        <f t="shared" si="17"/>
        <v>-472</v>
      </c>
      <c r="AA99" s="60">
        <f t="shared" si="17"/>
        <v>-490</v>
      </c>
      <c r="AB99" s="60">
        <f t="shared" si="17"/>
        <v>-469.8</v>
      </c>
      <c r="AC99" s="60">
        <f t="shared" si="17"/>
        <v>-476.9</v>
      </c>
      <c r="AD99" s="60">
        <f t="shared" si="17"/>
        <v>-514</v>
      </c>
      <c r="AE99" s="60">
        <f t="shared" si="17"/>
        <v>-514</v>
      </c>
      <c r="AF99" s="60">
        <f t="shared" si="17"/>
        <v>-510</v>
      </c>
      <c r="AG99" s="87"/>
      <c r="AH99" s="47">
        <f t="shared" si="11"/>
        <v>-421</v>
      </c>
      <c r="AI99" s="48">
        <f t="shared" si="12"/>
        <v>-529</v>
      </c>
      <c r="AK99" s="50"/>
    </row>
    <row r="100" spans="1:37" ht="15.75" thickBot="1" x14ac:dyDescent="0.3">
      <c r="A100" s="73" t="s">
        <v>108</v>
      </c>
      <c r="B100" s="60">
        <v>421</v>
      </c>
      <c r="C100" s="60">
        <f t="shared" ref="C100:AF100" si="18">C84-C99</f>
        <v>469</v>
      </c>
      <c r="D100" s="60">
        <f>D84-D99</f>
        <v>474</v>
      </c>
      <c r="E100" s="60">
        <f t="shared" si="18"/>
        <v>469</v>
      </c>
      <c r="F100" s="60">
        <f t="shared" si="18"/>
        <v>499.1</v>
      </c>
      <c r="G100" s="60">
        <f t="shared" si="18"/>
        <v>515.20000000000005</v>
      </c>
      <c r="H100" s="60">
        <f t="shared" si="18"/>
        <v>498</v>
      </c>
      <c r="I100" s="60">
        <f t="shared" si="18"/>
        <v>510.6</v>
      </c>
      <c r="J100" s="60">
        <f t="shared" si="18"/>
        <v>515.6</v>
      </c>
      <c r="K100" s="60">
        <f>K84-K99</f>
        <v>470</v>
      </c>
      <c r="L100" s="60">
        <f>L84-L99</f>
        <v>480</v>
      </c>
      <c r="M100" s="60">
        <f t="shared" si="18"/>
        <v>501</v>
      </c>
      <c r="N100" s="60">
        <f t="shared" si="18"/>
        <v>466.7</v>
      </c>
      <c r="O100" s="60">
        <f t="shared" si="18"/>
        <v>515.20000000000005</v>
      </c>
      <c r="P100" s="60">
        <f>P84-P99</f>
        <v>504</v>
      </c>
      <c r="Q100" s="60">
        <f t="shared" si="18"/>
        <v>512.79999999999995</v>
      </c>
      <c r="R100" s="60">
        <f t="shared" si="18"/>
        <v>515.4</v>
      </c>
      <c r="S100" s="60">
        <f t="shared" si="18"/>
        <v>478</v>
      </c>
      <c r="T100" s="60">
        <f t="shared" si="18"/>
        <v>493</v>
      </c>
      <c r="U100" s="60">
        <f t="shared" si="18"/>
        <v>483</v>
      </c>
      <c r="V100" s="60">
        <f t="shared" si="18"/>
        <v>529</v>
      </c>
      <c r="W100" s="60">
        <f t="shared" si="18"/>
        <v>489</v>
      </c>
      <c r="X100" s="60">
        <f t="shared" si="18"/>
        <v>479</v>
      </c>
      <c r="Y100" s="60">
        <f t="shared" si="18"/>
        <v>453</v>
      </c>
      <c r="Z100" s="60">
        <f t="shared" si="18"/>
        <v>472</v>
      </c>
      <c r="AA100" s="60">
        <f t="shared" si="18"/>
        <v>490</v>
      </c>
      <c r="AB100" s="60">
        <f t="shared" si="18"/>
        <v>469.8</v>
      </c>
      <c r="AC100" s="60">
        <f t="shared" si="18"/>
        <v>476.9</v>
      </c>
      <c r="AD100" s="60">
        <f t="shared" si="18"/>
        <v>514</v>
      </c>
      <c r="AE100" s="60">
        <f t="shared" si="18"/>
        <v>514</v>
      </c>
      <c r="AF100" s="60">
        <f t="shared" si="18"/>
        <v>510</v>
      </c>
      <c r="AG100" s="87"/>
      <c r="AH100" s="47">
        <f t="shared" si="11"/>
        <v>529</v>
      </c>
      <c r="AI100" s="48">
        <f t="shared" si="12"/>
        <v>421</v>
      </c>
    </row>
    <row r="101" spans="1:37" x14ac:dyDescent="0.25">
      <c r="A101" s="99" t="s">
        <v>109</v>
      </c>
      <c r="B101" s="100">
        <v>49.98</v>
      </c>
      <c r="C101" s="100">
        <v>50.01</v>
      </c>
      <c r="D101" s="100">
        <v>49.97</v>
      </c>
      <c r="E101" s="100">
        <v>50.05</v>
      </c>
      <c r="F101" s="100">
        <v>49.99</v>
      </c>
      <c r="G101" s="100">
        <v>50.045000000000002</v>
      </c>
      <c r="H101" s="100">
        <v>49.93</v>
      </c>
      <c r="I101" s="100">
        <v>49.98</v>
      </c>
      <c r="J101" s="100">
        <v>50.02</v>
      </c>
      <c r="K101" s="100">
        <v>50.02</v>
      </c>
      <c r="L101" s="100">
        <v>50.03</v>
      </c>
      <c r="M101" s="100">
        <v>49.970999999999997</v>
      </c>
      <c r="N101" s="100">
        <v>50.021000000000001</v>
      </c>
      <c r="O101" s="100">
        <v>50.045999999999999</v>
      </c>
      <c r="P101" s="100">
        <v>50.061999999999998</v>
      </c>
      <c r="Q101" s="100">
        <v>49.988999999999997</v>
      </c>
      <c r="R101" s="100">
        <v>50.058999999999997</v>
      </c>
      <c r="S101" s="100">
        <v>49.966000000000001</v>
      </c>
      <c r="T101" s="100">
        <v>49.975999999999999</v>
      </c>
      <c r="U101" s="100">
        <v>49.993000000000002</v>
      </c>
      <c r="V101" s="100">
        <v>49.863999999999997</v>
      </c>
      <c r="W101" s="100">
        <v>49.863999999999997</v>
      </c>
      <c r="X101" s="100">
        <v>49.99</v>
      </c>
      <c r="Y101" s="100">
        <v>49.935000000000002</v>
      </c>
      <c r="Z101" s="100">
        <v>50.036000000000001</v>
      </c>
      <c r="AA101" s="100">
        <v>50.036000000000001</v>
      </c>
      <c r="AB101" s="100">
        <v>50.04</v>
      </c>
      <c r="AC101" s="100">
        <v>50.043999999999997</v>
      </c>
      <c r="AD101" s="100">
        <v>49.951000000000001</v>
      </c>
      <c r="AE101" s="100">
        <v>50</v>
      </c>
      <c r="AF101" s="100">
        <v>50.01</v>
      </c>
      <c r="AG101" s="101"/>
      <c r="AH101" s="47">
        <f t="shared" si="11"/>
        <v>50.061999999999998</v>
      </c>
      <c r="AI101" s="48">
        <f t="shared" si="12"/>
        <v>49.863999999999997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1"/>
        <v>0</v>
      </c>
      <c r="AI102" s="48">
        <f t="shared" si="12"/>
        <v>0</v>
      </c>
    </row>
    <row r="103" spans="1:37" x14ac:dyDescent="0.25">
      <c r="A103" s="102" t="s">
        <v>111</v>
      </c>
      <c r="B103" s="64">
        <v>130.4</v>
      </c>
      <c r="C103" s="64">
        <v>129</v>
      </c>
      <c r="D103" s="64">
        <v>129</v>
      </c>
      <c r="E103" s="64">
        <v>129</v>
      </c>
      <c r="F103" s="64">
        <v>129</v>
      </c>
      <c r="G103" s="64">
        <v>129</v>
      </c>
      <c r="H103" s="64">
        <v>129</v>
      </c>
      <c r="I103" s="64">
        <v>129</v>
      </c>
      <c r="J103" s="64">
        <v>129</v>
      </c>
      <c r="K103" s="64">
        <v>129</v>
      </c>
      <c r="L103" s="64">
        <v>129</v>
      </c>
      <c r="M103" s="64">
        <v>125</v>
      </c>
      <c r="N103" s="64">
        <v>124.8</v>
      </c>
      <c r="O103" s="64">
        <v>125.4</v>
      </c>
      <c r="P103" s="64">
        <v>125.4</v>
      </c>
      <c r="Q103" s="64">
        <v>125.4</v>
      </c>
      <c r="R103" s="64">
        <v>127.1</v>
      </c>
      <c r="S103" s="64">
        <v>125.5</v>
      </c>
      <c r="T103" s="64">
        <v>125.5</v>
      </c>
      <c r="U103" s="64">
        <v>126.6</v>
      </c>
      <c r="V103" s="64">
        <v>125.8</v>
      </c>
      <c r="W103" s="64">
        <v>125.8</v>
      </c>
      <c r="X103" s="64">
        <v>128.1</v>
      </c>
      <c r="Y103" s="64">
        <v>125.6</v>
      </c>
      <c r="Z103" s="64">
        <v>127.1</v>
      </c>
      <c r="AA103" s="64">
        <v>127.1</v>
      </c>
      <c r="AB103" s="64">
        <v>129</v>
      </c>
      <c r="AC103" s="64">
        <v>129.1</v>
      </c>
      <c r="AD103" s="64">
        <v>127.9</v>
      </c>
      <c r="AE103" s="64">
        <v>128</v>
      </c>
      <c r="AF103" s="64">
        <v>128.5</v>
      </c>
      <c r="AG103" s="103"/>
      <c r="AH103" s="47">
        <f t="shared" si="11"/>
        <v>130.4</v>
      </c>
      <c r="AI103" s="48">
        <f t="shared" si="12"/>
        <v>124.8</v>
      </c>
    </row>
    <row r="104" spans="1:37" x14ac:dyDescent="0.25">
      <c r="A104" s="102" t="s">
        <v>112</v>
      </c>
      <c r="B104" s="64">
        <v>129</v>
      </c>
      <c r="C104" s="64">
        <v>128</v>
      </c>
      <c r="D104" s="64">
        <v>128</v>
      </c>
      <c r="E104" s="64">
        <v>128</v>
      </c>
      <c r="F104" s="64">
        <v>128</v>
      </c>
      <c r="G104" s="64">
        <v>128</v>
      </c>
      <c r="H104" s="64">
        <v>128</v>
      </c>
      <c r="I104" s="64">
        <v>128</v>
      </c>
      <c r="J104" s="64">
        <v>128</v>
      </c>
      <c r="K104" s="64">
        <v>128</v>
      </c>
      <c r="L104" s="64">
        <v>128</v>
      </c>
      <c r="M104" s="64">
        <v>129</v>
      </c>
      <c r="N104" s="64">
        <v>127.2</v>
      </c>
      <c r="O104" s="64">
        <v>128.69999999999999</v>
      </c>
      <c r="P104" s="64">
        <v>128.69999999999999</v>
      </c>
      <c r="Q104" s="64">
        <v>130.5</v>
      </c>
      <c r="R104" s="64">
        <v>128.69999999999999</v>
      </c>
      <c r="S104" s="64">
        <v>128.69999999999999</v>
      </c>
      <c r="T104" s="64">
        <v>128.69999999999999</v>
      </c>
      <c r="U104" s="64">
        <v>130</v>
      </c>
      <c r="V104" s="64">
        <v>129.5</v>
      </c>
      <c r="W104" s="64">
        <v>129.5</v>
      </c>
      <c r="X104" s="64">
        <v>129.9</v>
      </c>
      <c r="Y104" s="64">
        <v>128.1</v>
      </c>
      <c r="Z104" s="64">
        <v>129.30000000000001</v>
      </c>
      <c r="AA104" s="64">
        <v>129.30000000000001</v>
      </c>
      <c r="AB104" s="64">
        <v>131.19999999999999</v>
      </c>
      <c r="AC104" s="64">
        <v>131.30000000000001</v>
      </c>
      <c r="AD104" s="64">
        <v>131</v>
      </c>
      <c r="AE104" s="64">
        <v>130.6</v>
      </c>
      <c r="AF104" s="64">
        <v>130.19999999999999</v>
      </c>
      <c r="AG104" s="103"/>
      <c r="AH104" s="47">
        <f t="shared" si="11"/>
        <v>131.30000000000001</v>
      </c>
      <c r="AI104" s="48">
        <f t="shared" si="12"/>
        <v>127.2</v>
      </c>
    </row>
    <row r="105" spans="1:37" x14ac:dyDescent="0.25">
      <c r="A105" s="104" t="s">
        <v>113</v>
      </c>
      <c r="B105" s="64">
        <v>132</v>
      </c>
      <c r="C105" s="64">
        <v>130</v>
      </c>
      <c r="D105" s="64">
        <v>130</v>
      </c>
      <c r="E105" s="64">
        <v>130</v>
      </c>
      <c r="F105" s="64">
        <v>130</v>
      </c>
      <c r="G105" s="64">
        <v>130</v>
      </c>
      <c r="H105" s="64">
        <v>130</v>
      </c>
      <c r="I105" s="64">
        <v>130</v>
      </c>
      <c r="J105" s="64">
        <v>130</v>
      </c>
      <c r="K105" s="64">
        <v>130</v>
      </c>
      <c r="L105" s="64">
        <v>130</v>
      </c>
      <c r="M105" s="64">
        <v>131.4</v>
      </c>
      <c r="N105" s="64">
        <v>129.19999999999999</v>
      </c>
      <c r="O105" s="64">
        <v>130.4</v>
      </c>
      <c r="P105" s="64">
        <v>130.4</v>
      </c>
      <c r="Q105" s="64">
        <v>134</v>
      </c>
      <c r="R105" s="64">
        <v>130.6</v>
      </c>
      <c r="S105" s="64">
        <v>130.69999999999999</v>
      </c>
      <c r="T105" s="64">
        <v>130.69999999999999</v>
      </c>
      <c r="U105" s="64">
        <v>133.5</v>
      </c>
      <c r="V105" s="64">
        <v>133.69999999999999</v>
      </c>
      <c r="W105" s="64">
        <v>133.69999999999999</v>
      </c>
      <c r="X105" s="64">
        <v>132.6</v>
      </c>
      <c r="Y105" s="64">
        <v>131.6</v>
      </c>
      <c r="Z105" s="64">
        <v>131.9</v>
      </c>
      <c r="AA105" s="64">
        <v>131.9</v>
      </c>
      <c r="AB105" s="64">
        <v>134.69999999999999</v>
      </c>
      <c r="AC105" s="64">
        <v>135</v>
      </c>
      <c r="AD105" s="64">
        <v>134.80000000000001</v>
      </c>
      <c r="AE105" s="64">
        <v>133.6</v>
      </c>
      <c r="AF105" s="64">
        <v>133.1</v>
      </c>
      <c r="AG105" s="103"/>
      <c r="AH105" s="47">
        <f t="shared" si="11"/>
        <v>135</v>
      </c>
      <c r="AI105" s="48">
        <f t="shared" si="12"/>
        <v>129.19999999999999</v>
      </c>
    </row>
    <row r="106" spans="1:37" x14ac:dyDescent="0.25">
      <c r="A106" s="104" t="s">
        <v>114</v>
      </c>
      <c r="B106" s="105">
        <v>135.6</v>
      </c>
      <c r="C106" s="105">
        <v>132</v>
      </c>
      <c r="D106" s="105">
        <v>132</v>
      </c>
      <c r="E106" s="105">
        <v>132</v>
      </c>
      <c r="F106" s="105">
        <v>132</v>
      </c>
      <c r="G106" s="105">
        <v>132</v>
      </c>
      <c r="H106" s="105">
        <v>132</v>
      </c>
      <c r="I106" s="105">
        <v>132</v>
      </c>
      <c r="J106" s="105">
        <v>132</v>
      </c>
      <c r="K106" s="105">
        <v>132</v>
      </c>
      <c r="L106" s="105">
        <v>132</v>
      </c>
      <c r="M106" s="105">
        <v>133</v>
      </c>
      <c r="N106" s="105">
        <v>132.19999999999999</v>
      </c>
      <c r="O106" s="105">
        <v>131.69999999999999</v>
      </c>
      <c r="P106" s="105">
        <v>131.69999999999999</v>
      </c>
      <c r="Q106" s="105">
        <v>132.4</v>
      </c>
      <c r="R106" s="105">
        <v>132.19999999999999</v>
      </c>
      <c r="S106" s="105">
        <v>129.4</v>
      </c>
      <c r="T106" s="105">
        <v>132.19999999999999</v>
      </c>
      <c r="U106" s="105">
        <v>134.1</v>
      </c>
      <c r="V106" s="105">
        <v>130.80000000000001</v>
      </c>
      <c r="W106" s="105">
        <v>130.80000000000001</v>
      </c>
      <c r="X106" s="105">
        <v>134.5</v>
      </c>
      <c r="Y106" s="105">
        <v>133.30000000000001</v>
      </c>
      <c r="Z106" s="105">
        <v>131.69999999999999</v>
      </c>
      <c r="AA106" s="105">
        <v>131.69999999999999</v>
      </c>
      <c r="AB106" s="105">
        <v>133.30000000000001</v>
      </c>
      <c r="AC106" s="105">
        <v>132.30000000000001</v>
      </c>
      <c r="AD106" s="105">
        <v>131.6</v>
      </c>
      <c r="AE106" s="105">
        <v>130.19999999999999</v>
      </c>
      <c r="AF106" s="105">
        <v>130.5</v>
      </c>
      <c r="AG106" s="106"/>
      <c r="AH106" s="47">
        <f t="shared" si="11"/>
        <v>135.6</v>
      </c>
      <c r="AI106" s="48">
        <f t="shared" si="12"/>
        <v>129.4</v>
      </c>
    </row>
    <row r="107" spans="1:37" x14ac:dyDescent="0.25">
      <c r="A107" s="102" t="s">
        <v>115</v>
      </c>
      <c r="B107" s="64">
        <v>138</v>
      </c>
      <c r="C107" s="64">
        <v>131</v>
      </c>
      <c r="D107" s="64">
        <v>131</v>
      </c>
      <c r="E107" s="64">
        <v>131</v>
      </c>
      <c r="F107" s="64">
        <v>131</v>
      </c>
      <c r="G107" s="64">
        <v>131</v>
      </c>
      <c r="H107" s="64">
        <v>131</v>
      </c>
      <c r="I107" s="64">
        <v>131</v>
      </c>
      <c r="J107" s="64">
        <v>131</v>
      </c>
      <c r="K107" s="64">
        <v>131</v>
      </c>
      <c r="L107" s="64">
        <v>131</v>
      </c>
      <c r="M107" s="64">
        <v>136</v>
      </c>
      <c r="N107" s="64">
        <v>131.5</v>
      </c>
      <c r="O107" s="64">
        <v>130.9</v>
      </c>
      <c r="P107" s="64">
        <v>130.9</v>
      </c>
      <c r="Q107" s="64">
        <v>128.4</v>
      </c>
      <c r="R107" s="64">
        <v>131.6</v>
      </c>
      <c r="S107" s="64">
        <v>124.8</v>
      </c>
      <c r="T107" s="64">
        <v>128.69999999999999</v>
      </c>
      <c r="U107" s="64">
        <v>137.5</v>
      </c>
      <c r="V107" s="64">
        <v>128</v>
      </c>
      <c r="W107" s="64">
        <v>128</v>
      </c>
      <c r="X107" s="64">
        <v>135.80000000000001</v>
      </c>
      <c r="Y107" s="64">
        <v>131.80000000000001</v>
      </c>
      <c r="Z107" s="64">
        <v>128.19999999999999</v>
      </c>
      <c r="AA107" s="64">
        <v>128.19999999999999</v>
      </c>
      <c r="AB107" s="64">
        <v>131.30000000000001</v>
      </c>
      <c r="AC107" s="64">
        <v>130</v>
      </c>
      <c r="AD107" s="64">
        <v>130.30000000000001</v>
      </c>
      <c r="AE107" s="64">
        <v>127.8</v>
      </c>
      <c r="AF107" s="64">
        <v>127.5</v>
      </c>
      <c r="AG107" s="103"/>
      <c r="AH107" s="47">
        <f t="shared" si="11"/>
        <v>138</v>
      </c>
      <c r="AI107" s="48">
        <f t="shared" si="12"/>
        <v>124.8</v>
      </c>
    </row>
    <row r="108" spans="1:37" ht="15.75" thickBot="1" x14ac:dyDescent="0.3">
      <c r="A108" s="102" t="s">
        <v>116</v>
      </c>
      <c r="B108" s="91">
        <v>66</v>
      </c>
      <c r="C108" s="91">
        <v>65</v>
      </c>
      <c r="D108" s="91">
        <v>65</v>
      </c>
      <c r="E108" s="91">
        <v>65</v>
      </c>
      <c r="F108" s="91">
        <v>65</v>
      </c>
      <c r="G108" s="91">
        <v>65</v>
      </c>
      <c r="H108" s="91">
        <v>65</v>
      </c>
      <c r="I108" s="91">
        <v>65</v>
      </c>
      <c r="J108" s="91">
        <v>65</v>
      </c>
      <c r="K108" s="91">
        <v>65</v>
      </c>
      <c r="L108" s="91">
        <v>65</v>
      </c>
      <c r="M108" s="91">
        <v>62.9</v>
      </c>
      <c r="N108" s="91">
        <v>62.8</v>
      </c>
      <c r="O108" s="91">
        <v>62.7</v>
      </c>
      <c r="P108" s="91">
        <v>62.7</v>
      </c>
      <c r="Q108" s="91">
        <v>62.7</v>
      </c>
      <c r="R108" s="91">
        <v>63.3</v>
      </c>
      <c r="S108" s="91">
        <v>62.7</v>
      </c>
      <c r="T108" s="91">
        <v>62.8</v>
      </c>
      <c r="U108" s="91">
        <v>63.5</v>
      </c>
      <c r="V108" s="91">
        <v>63.3</v>
      </c>
      <c r="W108" s="91">
        <v>63.3</v>
      </c>
      <c r="X108" s="91">
        <v>64.400000000000006</v>
      </c>
      <c r="Y108" s="91">
        <v>63.1</v>
      </c>
      <c r="Z108" s="91">
        <v>64.2</v>
      </c>
      <c r="AA108" s="91">
        <v>64.2</v>
      </c>
      <c r="AB108" s="91">
        <v>65.2</v>
      </c>
      <c r="AC108" s="91">
        <v>64.900000000000006</v>
      </c>
      <c r="AD108" s="91">
        <v>64.5</v>
      </c>
      <c r="AE108" s="91">
        <v>64.900000000000006</v>
      </c>
      <c r="AF108" s="91">
        <v>64.7</v>
      </c>
      <c r="AG108" s="107"/>
      <c r="AH108" s="47">
        <f t="shared" si="11"/>
        <v>66</v>
      </c>
      <c r="AI108" s="48">
        <f t="shared" si="12"/>
        <v>62.7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1"/>
        <v>0</v>
      </c>
      <c r="AI109" s="48">
        <f t="shared" si="12"/>
        <v>0</v>
      </c>
    </row>
    <row r="110" spans="1:37" ht="15.75" thickBot="1" x14ac:dyDescent="0.3">
      <c r="A110" s="109" t="s">
        <v>118</v>
      </c>
      <c r="B110" s="110">
        <v>70.099999999999994</v>
      </c>
      <c r="C110" s="110">
        <f t="shared" ref="C110:O110" si="19">SUM(C20,C26,C29:C30,C58,C60:C61,C63,C65,C111:C115,C138,C144,C150,C159,C161,C173,C180,C183:C184,C191,C193,C195,C199:C201,C203:C205,C210,C216:C217,C219:C221,C229,C234)</f>
        <v>56.44</v>
      </c>
      <c r="D110" s="110">
        <f>SUM(D20,D26,D29:D30,D58,D60:D61,D63,D65,D111:D115,D138,D144,D150,D159,D161,D173,D180,D183:D184,D191,D193,D195,D199:D201,D203:D205,D210,D216:D217,D219:D221,D229,D234)</f>
        <v>63.139999999999986</v>
      </c>
      <c r="E110" s="110">
        <f t="shared" si="19"/>
        <v>67.239999999999981</v>
      </c>
      <c r="F110" s="110">
        <f t="shared" si="19"/>
        <v>75.940000000000026</v>
      </c>
      <c r="G110" s="110">
        <f t="shared" si="19"/>
        <v>104.53999999999999</v>
      </c>
      <c r="H110" s="110">
        <f t="shared" si="19"/>
        <v>114.24000000000002</v>
      </c>
      <c r="I110" s="110">
        <f t="shared" si="19"/>
        <v>119.53999999999999</v>
      </c>
      <c r="J110" s="110">
        <f t="shared" si="19"/>
        <v>119.53999999999999</v>
      </c>
      <c r="K110" s="110">
        <f>SUM(K20,K26,K29:K30,K58,K60:K61,K63,K65,K111:K115,K138,K144,K150,K159,K161,K173,K180,K183:K184,K191,K193,K195,K199:K201,K203:K205,K210,K216:K217,K219:K221,K229,K234)</f>
        <v>190.44</v>
      </c>
      <c r="L110" s="110">
        <f>SUM(L20,L26,L29:L30,L58,L60:L61,L63,L65,L111:L115,L138,L144,L150,L159,L161,L173,L180,L183:L184,L191,L193,L195,L199:L201,L203:L205,L210,L216:L217,L219:L221,L229,L234)</f>
        <v>197.44</v>
      </c>
      <c r="M110" s="110">
        <f t="shared" si="19"/>
        <v>227.38</v>
      </c>
      <c r="N110" s="110">
        <f t="shared" si="19"/>
        <v>214.54000000000002</v>
      </c>
      <c r="O110" s="110">
        <f t="shared" si="19"/>
        <v>213.64000000000001</v>
      </c>
      <c r="P110" s="110">
        <f>SUM(P20,P26,P29:P30,P58,P60:P61,P63,P65,P111:P115,P138,P144,P150,P159,P161,P173,P180,P183:P184,P191,P193,P195,P199:P201,P203:P205,P210,P216:P217,P219:P221,P229,P234)</f>
        <v>244.04</v>
      </c>
      <c r="Q110" s="110">
        <f t="shared" ref="Q110:AF110" si="20">SUM(Q20,Q26,Q29:Q30,Q58,Q60:Q61,Q63,Q65,Q111:Q115,Q138,Q144,Q150,Q159,Q161,Q173,Q180,Q183:Q184,Q191,Q193,Q195,Q199:Q201,Q203:Q205,Q210,Q216:Q217,Q219:Q221,Q229,Q234)</f>
        <v>219.59999999999997</v>
      </c>
      <c r="R110" s="110">
        <f t="shared" si="20"/>
        <v>228.89999999999998</v>
      </c>
      <c r="S110" s="110">
        <f t="shared" si="20"/>
        <v>213.39999999999998</v>
      </c>
      <c r="T110" s="110">
        <f t="shared" si="20"/>
        <v>208.4</v>
      </c>
      <c r="U110" s="110">
        <f t="shared" si="20"/>
        <v>199.1</v>
      </c>
      <c r="V110" s="110">
        <f t="shared" si="20"/>
        <v>182.39999999999998</v>
      </c>
      <c r="W110" s="110">
        <f t="shared" si="20"/>
        <v>182.39999999999998</v>
      </c>
      <c r="X110" s="110">
        <f t="shared" si="20"/>
        <v>226.6</v>
      </c>
      <c r="Y110" s="110">
        <f t="shared" si="20"/>
        <v>345.70000000000005</v>
      </c>
      <c r="Z110" s="110">
        <f t="shared" si="20"/>
        <v>266.7</v>
      </c>
      <c r="AA110" s="110">
        <f t="shared" si="20"/>
        <v>266.7</v>
      </c>
      <c r="AB110" s="110">
        <f t="shared" si="20"/>
        <v>190.5</v>
      </c>
      <c r="AC110" s="110">
        <f t="shared" si="20"/>
        <v>172.19999999999996</v>
      </c>
      <c r="AD110" s="110"/>
      <c r="AE110" s="110">
        <f t="shared" si="20"/>
        <v>119.79999999999998</v>
      </c>
      <c r="AF110" s="110">
        <f t="shared" si="20"/>
        <v>80.199999999999989</v>
      </c>
      <c r="AG110" s="111"/>
      <c r="AH110" s="47">
        <f t="shared" si="11"/>
        <v>345.70000000000005</v>
      </c>
      <c r="AI110" s="48">
        <f t="shared" si="12"/>
        <v>56.44</v>
      </c>
    </row>
    <row r="111" spans="1:37" x14ac:dyDescent="0.25">
      <c r="A111" s="99" t="s">
        <v>119</v>
      </c>
      <c r="B111" s="112">
        <v>30</v>
      </c>
      <c r="C111" s="112">
        <v>30</v>
      </c>
      <c r="D111" s="112">
        <v>33</v>
      </c>
      <c r="E111" s="112">
        <v>32.6</v>
      </c>
      <c r="F111" s="112">
        <v>37.5</v>
      </c>
      <c r="G111" s="112">
        <v>50.5</v>
      </c>
      <c r="H111" s="112">
        <v>40.299999999999997</v>
      </c>
      <c r="I111" s="112">
        <v>49</v>
      </c>
      <c r="J111" s="112">
        <v>49</v>
      </c>
      <c r="K111" s="112">
        <v>60</v>
      </c>
      <c r="L111" s="112">
        <v>63</v>
      </c>
      <c r="M111" s="112">
        <v>60.74</v>
      </c>
      <c r="N111" s="112">
        <v>51.4</v>
      </c>
      <c r="O111" s="112">
        <v>54.1</v>
      </c>
      <c r="P111" s="112">
        <v>60.5</v>
      </c>
      <c r="Q111" s="112">
        <v>52.4</v>
      </c>
      <c r="R111" s="112">
        <v>50.7</v>
      </c>
      <c r="S111" s="112">
        <v>42.7</v>
      </c>
      <c r="T111" s="112">
        <v>47</v>
      </c>
      <c r="U111" s="112">
        <v>69</v>
      </c>
      <c r="V111" s="112">
        <v>63.4</v>
      </c>
      <c r="W111" s="112">
        <v>63.4</v>
      </c>
      <c r="X111" s="112">
        <v>64.5</v>
      </c>
      <c r="Y111" s="112">
        <v>77.8</v>
      </c>
      <c r="Z111" s="112">
        <v>49.4</v>
      </c>
      <c r="AA111" s="112">
        <v>49.4</v>
      </c>
      <c r="AB111" s="112">
        <v>38.5</v>
      </c>
      <c r="AC111" s="112">
        <v>32.299999999999997</v>
      </c>
      <c r="AD111" s="112">
        <v>30.7</v>
      </c>
      <c r="AE111" s="112">
        <v>21</v>
      </c>
      <c r="AF111" s="112">
        <v>14.6</v>
      </c>
      <c r="AG111" s="113">
        <v>75</v>
      </c>
      <c r="AH111" s="47">
        <f t="shared" si="11"/>
        <v>77.8</v>
      </c>
      <c r="AI111" s="48">
        <f t="shared" si="12"/>
        <v>14.6</v>
      </c>
    </row>
    <row r="112" spans="1:37" x14ac:dyDescent="0.25">
      <c r="A112" s="102" t="s">
        <v>120</v>
      </c>
      <c r="B112" s="114">
        <v>42</v>
      </c>
      <c r="C112" s="114">
        <v>46</v>
      </c>
      <c r="D112" s="114">
        <v>50.7</v>
      </c>
      <c r="E112" s="114">
        <v>50.6</v>
      </c>
      <c r="F112" s="114">
        <v>58.6</v>
      </c>
      <c r="G112" s="114">
        <v>59.7</v>
      </c>
      <c r="H112" s="114">
        <v>59.8</v>
      </c>
      <c r="I112" s="114">
        <v>72.7</v>
      </c>
      <c r="J112" s="114">
        <v>72.7</v>
      </c>
      <c r="K112" s="114">
        <v>85</v>
      </c>
      <c r="L112" s="114">
        <v>89</v>
      </c>
      <c r="M112" s="114">
        <v>87.5</v>
      </c>
      <c r="N112" s="114">
        <v>73.599999999999994</v>
      </c>
      <c r="O112" s="114">
        <v>77.8</v>
      </c>
      <c r="P112" s="114">
        <v>86.7</v>
      </c>
      <c r="Q112" s="114">
        <v>73.5</v>
      </c>
      <c r="R112" s="114">
        <v>71.2</v>
      </c>
      <c r="S112" s="114">
        <v>60.7</v>
      </c>
      <c r="T112" s="114">
        <v>66.5</v>
      </c>
      <c r="U112" s="114">
        <v>90.5</v>
      </c>
      <c r="V112" s="114">
        <v>88.1</v>
      </c>
      <c r="W112" s="114">
        <v>88.1</v>
      </c>
      <c r="X112" s="114">
        <v>89.5</v>
      </c>
      <c r="Y112" s="114">
        <v>111.4</v>
      </c>
      <c r="Z112" s="114">
        <v>72.8</v>
      </c>
      <c r="AA112" s="114">
        <v>72.8</v>
      </c>
      <c r="AB112" s="114">
        <v>52.4</v>
      </c>
      <c r="AC112" s="114">
        <v>44.7</v>
      </c>
      <c r="AD112" s="114">
        <v>42.8</v>
      </c>
      <c r="AE112" s="114">
        <v>28.6</v>
      </c>
      <c r="AF112" s="114">
        <v>18.399999999999999</v>
      </c>
      <c r="AG112" s="113">
        <v>240</v>
      </c>
      <c r="AH112" s="47">
        <f t="shared" si="11"/>
        <v>111.4</v>
      </c>
      <c r="AI112" s="48">
        <f t="shared" si="12"/>
        <v>18.399999999999999</v>
      </c>
    </row>
    <row r="113" spans="1:37" x14ac:dyDescent="0.25">
      <c r="A113" s="102" t="s">
        <v>121</v>
      </c>
      <c r="B113" s="114">
        <v>-170</v>
      </c>
      <c r="C113" s="114">
        <v>-173</v>
      </c>
      <c r="D113" s="114">
        <v>-175</v>
      </c>
      <c r="E113" s="114">
        <v>-170</v>
      </c>
      <c r="F113" s="114">
        <v>-173</v>
      </c>
      <c r="G113" s="114">
        <v>-160</v>
      </c>
      <c r="H113" s="114">
        <v>-148</v>
      </c>
      <c r="I113" s="114">
        <v>-162</v>
      </c>
      <c r="J113" s="114">
        <v>-162</v>
      </c>
      <c r="K113" s="114">
        <v>-150</v>
      </c>
      <c r="L113" s="114">
        <v>-150</v>
      </c>
      <c r="M113" s="114">
        <v>-170</v>
      </c>
      <c r="N113" s="114">
        <v>-158</v>
      </c>
      <c r="O113" s="114">
        <v>-162</v>
      </c>
      <c r="P113" s="114">
        <v>-175.6</v>
      </c>
      <c r="Q113" s="114">
        <v>-170</v>
      </c>
      <c r="R113" s="114">
        <v>-145.6</v>
      </c>
      <c r="S113" s="114">
        <v>-130</v>
      </c>
      <c r="T113" s="114">
        <v>-140</v>
      </c>
      <c r="U113" s="114">
        <v>-160</v>
      </c>
      <c r="V113" s="114">
        <v>-162</v>
      </c>
      <c r="W113" s="114">
        <v>-162</v>
      </c>
      <c r="X113" s="114">
        <v>-128</v>
      </c>
      <c r="Y113" s="114">
        <v>-75</v>
      </c>
      <c r="Z113" s="114">
        <v>-97</v>
      </c>
      <c r="AA113" s="114">
        <v>-97</v>
      </c>
      <c r="AB113" s="114">
        <f>-54-57</f>
        <v>-111</v>
      </c>
      <c r="AC113" s="114">
        <f>-55-59</f>
        <v>-114</v>
      </c>
      <c r="AD113" s="114">
        <f>-65-68</f>
        <v>-133</v>
      </c>
      <c r="AE113" s="114">
        <v>-133.4</v>
      </c>
      <c r="AF113" s="114">
        <f>-65.2-68.6</f>
        <v>-133.80000000000001</v>
      </c>
      <c r="AG113" s="113">
        <v>240</v>
      </c>
      <c r="AH113" s="47">
        <f t="shared" si="11"/>
        <v>-75</v>
      </c>
      <c r="AI113" s="48">
        <f t="shared" si="12"/>
        <v>-175.6</v>
      </c>
    </row>
    <row r="114" spans="1:37" x14ac:dyDescent="0.25">
      <c r="A114" s="102" t="s">
        <v>122</v>
      </c>
      <c r="B114" s="114">
        <v>-12.5</v>
      </c>
      <c r="C114" s="114">
        <v>-16</v>
      </c>
      <c r="D114" s="114">
        <v>-15</v>
      </c>
      <c r="E114" s="114">
        <v>-15.4</v>
      </c>
      <c r="F114" s="114">
        <v>-16.600000000000001</v>
      </c>
      <c r="G114" s="114">
        <v>-15.1</v>
      </c>
      <c r="H114" s="114">
        <v>-7.3</v>
      </c>
      <c r="I114" s="114">
        <v>-9.6</v>
      </c>
      <c r="J114" s="114">
        <v>-9.6</v>
      </c>
      <c r="K114" s="114">
        <v>13</v>
      </c>
      <c r="L114" s="114">
        <v>13</v>
      </c>
      <c r="M114" s="114">
        <v>6.7</v>
      </c>
      <c r="N114" s="114">
        <v>10.4</v>
      </c>
      <c r="O114" s="114">
        <v>7.2</v>
      </c>
      <c r="P114" s="114">
        <v>7.4</v>
      </c>
      <c r="Q114" s="114">
        <v>6.2</v>
      </c>
      <c r="R114" s="114">
        <v>5.6</v>
      </c>
      <c r="S114" s="114">
        <v>7.1</v>
      </c>
      <c r="T114" s="114">
        <v>1</v>
      </c>
      <c r="U114" s="114">
        <v>1.1000000000000001</v>
      </c>
      <c r="V114" s="114">
        <v>0</v>
      </c>
      <c r="W114" s="114">
        <v>0</v>
      </c>
      <c r="X114" s="114">
        <v>9.8000000000000007</v>
      </c>
      <c r="Y114" s="114">
        <v>15.5</v>
      </c>
      <c r="Z114" s="114">
        <v>19</v>
      </c>
      <c r="AA114" s="114">
        <v>19</v>
      </c>
      <c r="AB114" s="114">
        <v>5.5</v>
      </c>
      <c r="AC114" s="114">
        <v>4.4000000000000004</v>
      </c>
      <c r="AD114" s="114">
        <v>0.9</v>
      </c>
      <c r="AE114" s="114">
        <v>-2.5</v>
      </c>
      <c r="AF114" s="114">
        <v>-10.9</v>
      </c>
      <c r="AG114" s="113">
        <v>60</v>
      </c>
      <c r="AH114" s="47">
        <f t="shared" si="11"/>
        <v>19</v>
      </c>
      <c r="AI114" s="48">
        <f t="shared" si="12"/>
        <v>-16.600000000000001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/>
      <c r="J115" s="116"/>
      <c r="K115" s="116">
        <v>13</v>
      </c>
      <c r="L115" s="116">
        <v>13</v>
      </c>
      <c r="M115" s="116">
        <v>53.3</v>
      </c>
      <c r="N115" s="116">
        <v>46.2</v>
      </c>
      <c r="O115" s="116">
        <v>51.9</v>
      </c>
      <c r="P115" s="116">
        <v>71.599999999999994</v>
      </c>
      <c r="Q115" s="116">
        <v>71.7</v>
      </c>
      <c r="R115" s="116">
        <v>61.2</v>
      </c>
      <c r="S115" s="116">
        <v>47.1</v>
      </c>
      <c r="T115" s="116">
        <v>47.4</v>
      </c>
      <c r="U115" s="116">
        <v>37</v>
      </c>
      <c r="V115" s="116">
        <v>36</v>
      </c>
      <c r="W115" s="116">
        <v>36</v>
      </c>
      <c r="X115" s="116">
        <v>33.9</v>
      </c>
      <c r="Y115" s="116">
        <v>44.5</v>
      </c>
      <c r="Z115" s="116">
        <v>51</v>
      </c>
      <c r="AA115" s="116">
        <v>51</v>
      </c>
      <c r="AB115" s="116">
        <v>41</v>
      </c>
      <c r="AC115" s="116">
        <v>41</v>
      </c>
      <c r="AD115" s="116">
        <v>42.6</v>
      </c>
      <c r="AE115" s="116">
        <v>42.6</v>
      </c>
      <c r="AF115" s="116">
        <v>32.700000000000003</v>
      </c>
      <c r="AG115" s="117">
        <v>120</v>
      </c>
      <c r="AH115" s="47">
        <f t="shared" si="11"/>
        <v>71.7</v>
      </c>
      <c r="AI115" s="48">
        <f t="shared" si="12"/>
        <v>0</v>
      </c>
    </row>
    <row r="116" spans="1:37" x14ac:dyDescent="0.25">
      <c r="A116" s="115" t="s">
        <v>124</v>
      </c>
      <c r="B116" s="116">
        <v>54</v>
      </c>
      <c r="C116" s="116">
        <v>53</v>
      </c>
      <c r="D116" s="116">
        <v>65</v>
      </c>
      <c r="E116" s="116">
        <v>74</v>
      </c>
      <c r="F116" s="116">
        <v>52.3</v>
      </c>
      <c r="G116" s="116">
        <v>46.9</v>
      </c>
      <c r="H116" s="116">
        <v>46.2</v>
      </c>
      <c r="I116" s="116">
        <v>68.099999999999994</v>
      </c>
      <c r="J116" s="116">
        <v>68.099999999999994</v>
      </c>
      <c r="K116" s="116">
        <v>69</v>
      </c>
      <c r="L116" s="116">
        <v>69</v>
      </c>
      <c r="M116" s="116">
        <v>51.7</v>
      </c>
      <c r="N116" s="116">
        <v>93.4</v>
      </c>
      <c r="O116" s="116">
        <v>72.900000000000006</v>
      </c>
      <c r="P116" s="116">
        <v>56.1</v>
      </c>
      <c r="Q116" s="116">
        <v>47.7</v>
      </c>
      <c r="R116" s="116">
        <v>54.3</v>
      </c>
      <c r="S116" s="116">
        <v>69.400000000000006</v>
      </c>
      <c r="T116" s="116">
        <v>62.9</v>
      </c>
      <c r="U116" s="116">
        <v>56</v>
      </c>
      <c r="V116" s="116">
        <v>43</v>
      </c>
      <c r="W116" s="116">
        <v>43</v>
      </c>
      <c r="X116" s="116">
        <v>64.099999999999994</v>
      </c>
      <c r="Y116" s="116">
        <v>51</v>
      </c>
      <c r="Z116" s="116">
        <v>38.9</v>
      </c>
      <c r="AA116" s="116">
        <v>38.9</v>
      </c>
      <c r="AB116" s="116">
        <v>60.1</v>
      </c>
      <c r="AC116" s="116">
        <v>73.400000000000006</v>
      </c>
      <c r="AD116" s="116">
        <v>28.1</v>
      </c>
      <c r="AE116" s="116">
        <v>34.200000000000003</v>
      </c>
      <c r="AF116" s="116">
        <v>72.099999999999994</v>
      </c>
      <c r="AG116" s="117"/>
      <c r="AH116" s="47">
        <f t="shared" si="11"/>
        <v>93.4</v>
      </c>
      <c r="AI116" s="48">
        <f t="shared" si="12"/>
        <v>28.1</v>
      </c>
    </row>
    <row r="117" spans="1:37" x14ac:dyDescent="0.25">
      <c r="A117" s="115" t="s">
        <v>125</v>
      </c>
      <c r="B117" s="116">
        <v>28</v>
      </c>
      <c r="C117" s="116">
        <v>29</v>
      </c>
      <c r="D117" s="116">
        <v>29</v>
      </c>
      <c r="E117" s="116">
        <v>-19.600000000000001</v>
      </c>
      <c r="F117" s="116">
        <v>11.8</v>
      </c>
      <c r="G117" s="116">
        <v>4</v>
      </c>
      <c r="H117" s="116">
        <v>8.1</v>
      </c>
      <c r="I117" s="116">
        <v>0.9</v>
      </c>
      <c r="J117" s="116">
        <v>0.9</v>
      </c>
      <c r="K117" s="116">
        <v>11</v>
      </c>
      <c r="L117" s="116">
        <v>11</v>
      </c>
      <c r="M117" s="116">
        <v>11</v>
      </c>
      <c r="N117" s="116">
        <v>23</v>
      </c>
      <c r="O117" s="116">
        <v>15.5</v>
      </c>
      <c r="P117" s="116">
        <v>16.2</v>
      </c>
      <c r="Q117" s="116">
        <v>15.9</v>
      </c>
      <c r="R117" s="116">
        <v>12.3</v>
      </c>
      <c r="S117" s="116">
        <v>20.2</v>
      </c>
      <c r="T117" s="116">
        <v>15.5</v>
      </c>
      <c r="U117" s="116">
        <v>-4</v>
      </c>
      <c r="V117" s="116">
        <v>-6.4</v>
      </c>
      <c r="W117" s="116">
        <v>-6.4</v>
      </c>
      <c r="X117" s="116">
        <v>-7.8</v>
      </c>
      <c r="Y117" s="116">
        <v>-7.3</v>
      </c>
      <c r="Z117" s="116">
        <v>-6.7</v>
      </c>
      <c r="AA117" s="116">
        <v>-6.7</v>
      </c>
      <c r="AB117" s="116">
        <v>-8.6</v>
      </c>
      <c r="AC117" s="116">
        <v>6.9</v>
      </c>
      <c r="AD117" s="116">
        <v>0</v>
      </c>
      <c r="AE117" s="116">
        <v>5.6</v>
      </c>
      <c r="AF117" s="116">
        <v>10.6</v>
      </c>
      <c r="AG117" s="118"/>
      <c r="AH117" s="47">
        <f t="shared" si="11"/>
        <v>29</v>
      </c>
      <c r="AI117" s="48">
        <f t="shared" si="12"/>
        <v>-19.600000000000001</v>
      </c>
    </row>
    <row r="118" spans="1:37" x14ac:dyDescent="0.25">
      <c r="A118" s="119" t="s">
        <v>126</v>
      </c>
      <c r="B118" s="105">
        <v>67</v>
      </c>
      <c r="C118" s="105">
        <v>67</v>
      </c>
      <c r="D118" s="105">
        <v>68</v>
      </c>
      <c r="E118" s="105"/>
      <c r="F118" s="105"/>
      <c r="G118" s="105"/>
      <c r="H118" s="105"/>
      <c r="I118" s="105"/>
      <c r="J118" s="105"/>
      <c r="K118" s="105">
        <v>61</v>
      </c>
      <c r="L118" s="105">
        <v>61</v>
      </c>
      <c r="M118" s="105">
        <v>63.1</v>
      </c>
      <c r="N118" s="105">
        <v>62.9</v>
      </c>
      <c r="O118" s="105">
        <v>66.099999999999994</v>
      </c>
      <c r="P118" s="105">
        <v>64.5</v>
      </c>
      <c r="Q118" s="105">
        <v>67.599999999999994</v>
      </c>
      <c r="R118" s="105">
        <v>68.400000000000006</v>
      </c>
      <c r="S118" s="105">
        <v>63.9</v>
      </c>
      <c r="T118" s="105">
        <v>64.5</v>
      </c>
      <c r="U118" s="105">
        <v>65</v>
      </c>
      <c r="V118" s="105">
        <v>65</v>
      </c>
      <c r="W118" s="105">
        <v>65</v>
      </c>
      <c r="X118" s="105">
        <v>52.9</v>
      </c>
      <c r="Y118" s="105">
        <v>52</v>
      </c>
      <c r="Z118" s="105">
        <v>48</v>
      </c>
      <c r="AA118" s="105">
        <v>48</v>
      </c>
      <c r="AB118" s="105">
        <v>60.9</v>
      </c>
      <c r="AC118" s="105">
        <v>61.9</v>
      </c>
      <c r="AD118" s="105">
        <v>64.599999999999994</v>
      </c>
      <c r="AE118" s="105">
        <v>65.8</v>
      </c>
      <c r="AF118" s="105">
        <v>68.5</v>
      </c>
      <c r="AG118" s="118"/>
      <c r="AH118" s="47">
        <f t="shared" si="11"/>
        <v>68.5</v>
      </c>
      <c r="AI118" s="48">
        <f t="shared" si="12"/>
        <v>48</v>
      </c>
    </row>
    <row r="119" spans="1:37" x14ac:dyDescent="0.25">
      <c r="A119" s="120" t="s">
        <v>127</v>
      </c>
      <c r="B119" s="105">
        <v>60</v>
      </c>
      <c r="C119" s="105">
        <v>64</v>
      </c>
      <c r="D119" s="105">
        <v>60</v>
      </c>
      <c r="E119" s="105">
        <v>58.7</v>
      </c>
      <c r="F119" s="105">
        <v>64</v>
      </c>
      <c r="G119" s="105">
        <v>63.9</v>
      </c>
      <c r="H119" s="105">
        <v>60.4</v>
      </c>
      <c r="I119" s="105">
        <v>53.8</v>
      </c>
      <c r="J119" s="105">
        <v>53.8</v>
      </c>
      <c r="K119" s="105">
        <v>55</v>
      </c>
      <c r="L119" s="105">
        <v>55</v>
      </c>
      <c r="M119" s="105">
        <v>64.5</v>
      </c>
      <c r="N119" s="105">
        <v>50</v>
      </c>
      <c r="O119" s="105">
        <v>53.6</v>
      </c>
      <c r="P119" s="105">
        <v>61.2</v>
      </c>
      <c r="Q119" s="105">
        <v>56</v>
      </c>
      <c r="R119" s="105">
        <v>51.2</v>
      </c>
      <c r="S119" s="105">
        <v>47</v>
      </c>
      <c r="T119" s="105">
        <v>45.2</v>
      </c>
      <c r="U119" s="105">
        <v>54</v>
      </c>
      <c r="V119" s="105">
        <v>54</v>
      </c>
      <c r="W119" s="105">
        <v>54</v>
      </c>
      <c r="X119" s="105">
        <v>42.7</v>
      </c>
      <c r="Y119" s="105">
        <v>54</v>
      </c>
      <c r="Z119" s="105">
        <v>63.3</v>
      </c>
      <c r="AA119" s="105">
        <v>63.3</v>
      </c>
      <c r="AB119" s="105">
        <v>59.7</v>
      </c>
      <c r="AC119" s="105">
        <v>56.7</v>
      </c>
      <c r="AD119" s="105">
        <v>70.8</v>
      </c>
      <c r="AE119" s="105">
        <v>71.400000000000006</v>
      </c>
      <c r="AF119" s="105">
        <v>75.599999999999994</v>
      </c>
      <c r="AG119" s="118"/>
      <c r="AH119" s="47">
        <f t="shared" si="11"/>
        <v>75.599999999999994</v>
      </c>
      <c r="AI119" s="48">
        <f t="shared" si="12"/>
        <v>42.7</v>
      </c>
    </row>
    <row r="120" spans="1:37" ht="15.75" thickBot="1" x14ac:dyDescent="0.3">
      <c r="A120" s="119" t="s">
        <v>128</v>
      </c>
      <c r="B120" s="105">
        <v>-13</v>
      </c>
      <c r="C120" s="105">
        <v>-17</v>
      </c>
      <c r="D120" s="105">
        <v>-20</v>
      </c>
      <c r="E120" s="105">
        <v>22</v>
      </c>
      <c r="F120" s="105">
        <v>26</v>
      </c>
      <c r="G120" s="105">
        <v>-29.9</v>
      </c>
      <c r="H120" s="105">
        <v>-29.3</v>
      </c>
      <c r="I120" s="105">
        <v>-32.5</v>
      </c>
      <c r="J120" s="105">
        <v>-32.5</v>
      </c>
      <c r="K120" s="105">
        <v>-8</v>
      </c>
      <c r="L120" s="105">
        <v>-8</v>
      </c>
      <c r="M120" s="105">
        <v>-13.9</v>
      </c>
      <c r="N120" s="105">
        <v>14.5</v>
      </c>
      <c r="O120" s="105">
        <v>25.8</v>
      </c>
      <c r="P120" s="105">
        <v>-19.5</v>
      </c>
      <c r="Q120" s="105">
        <v>-49</v>
      </c>
      <c r="R120" s="105">
        <v>-18.2</v>
      </c>
      <c r="S120" s="105">
        <v>-13.5</v>
      </c>
      <c r="T120" s="105">
        <v>-19.2</v>
      </c>
      <c r="U120" s="105">
        <v>-13</v>
      </c>
      <c r="V120" s="105">
        <v>-16</v>
      </c>
      <c r="W120" s="105">
        <v>-16</v>
      </c>
      <c r="X120" s="105">
        <v>-3.3</v>
      </c>
      <c r="Y120" s="105">
        <v>3.6</v>
      </c>
      <c r="Z120" s="105">
        <v>0.9</v>
      </c>
      <c r="AA120" s="105">
        <v>0.9</v>
      </c>
      <c r="AB120" s="105">
        <v>-15.6</v>
      </c>
      <c r="AC120" s="105">
        <v>-14.2</v>
      </c>
      <c r="AD120" s="105">
        <v>-17.8</v>
      </c>
      <c r="AE120" s="105">
        <v>-22.8</v>
      </c>
      <c r="AF120" s="105">
        <v>-27.9</v>
      </c>
      <c r="AG120" s="118"/>
      <c r="AH120" s="47">
        <f t="shared" si="11"/>
        <v>26</v>
      </c>
      <c r="AI120" s="48">
        <f t="shared" si="12"/>
        <v>-49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1">SUM(B122:B226)</f>
        <v>0</v>
      </c>
      <c r="C227" s="136">
        <f t="shared" si="21"/>
        <v>0</v>
      </c>
      <c r="D227" s="136">
        <f t="shared" si="21"/>
        <v>0</v>
      </c>
      <c r="E227" s="136">
        <f t="shared" si="21"/>
        <v>0</v>
      </c>
      <c r="F227" s="136">
        <f t="shared" si="21"/>
        <v>0</v>
      </c>
      <c r="G227" s="136">
        <f t="shared" si="21"/>
        <v>0</v>
      </c>
      <c r="H227" s="136">
        <f t="shared" si="21"/>
        <v>0</v>
      </c>
      <c r="I227" s="136">
        <f t="shared" si="21"/>
        <v>0</v>
      </c>
      <c r="J227" s="136">
        <f t="shared" si="21"/>
        <v>0</v>
      </c>
      <c r="K227" s="136">
        <f t="shared" si="21"/>
        <v>0</v>
      </c>
      <c r="L227" s="136">
        <f t="shared" si="21"/>
        <v>0</v>
      </c>
      <c r="M227" s="136">
        <f t="shared" si="21"/>
        <v>0</v>
      </c>
      <c r="N227" s="136">
        <f t="shared" si="21"/>
        <v>0</v>
      </c>
      <c r="O227" s="136">
        <f t="shared" si="21"/>
        <v>0</v>
      </c>
      <c r="P227" s="136">
        <f t="shared" si="21"/>
        <v>0</v>
      </c>
      <c r="Q227" s="136">
        <f t="shared" si="21"/>
        <v>0</v>
      </c>
      <c r="R227" s="136">
        <f t="shared" si="21"/>
        <v>0</v>
      </c>
      <c r="S227" s="136">
        <f t="shared" si="21"/>
        <v>0</v>
      </c>
      <c r="T227" s="136">
        <f t="shared" si="21"/>
        <v>0</v>
      </c>
      <c r="U227" s="136">
        <f t="shared" si="21"/>
        <v>0</v>
      </c>
      <c r="V227" s="136">
        <f t="shared" si="21"/>
        <v>0</v>
      </c>
      <c r="W227" s="136">
        <f t="shared" si="21"/>
        <v>0</v>
      </c>
      <c r="X227" s="136">
        <f t="shared" si="21"/>
        <v>0</v>
      </c>
      <c r="Y227" s="136">
        <f t="shared" si="21"/>
        <v>0</v>
      </c>
      <c r="Z227" s="136">
        <f t="shared" si="21"/>
        <v>0</v>
      </c>
      <c r="AA227" s="136">
        <f t="shared" si="21"/>
        <v>0</v>
      </c>
      <c r="AB227" s="136">
        <f t="shared" si="21"/>
        <v>0</v>
      </c>
      <c r="AC227" s="136">
        <f t="shared" si="21"/>
        <v>0</v>
      </c>
      <c r="AD227" s="136">
        <f t="shared" si="21"/>
        <v>0</v>
      </c>
      <c r="AE227" s="136">
        <f t="shared" si="21"/>
        <v>0</v>
      </c>
      <c r="AF227" s="137">
        <f t="shared" si="21"/>
        <v>0</v>
      </c>
      <c r="AG227" s="138">
        <f t="shared" si="21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2">AF229</f>
        <v>0</v>
      </c>
      <c r="C229" s="140">
        <v>0.3</v>
      </c>
      <c r="D229" s="140">
        <f t="shared" ref="D229:P234" si="23">C229</f>
        <v>0.3</v>
      </c>
      <c r="E229" s="140">
        <f t="shared" si="23"/>
        <v>0.3</v>
      </c>
      <c r="F229" s="140">
        <f t="shared" si="23"/>
        <v>0.3</v>
      </c>
      <c r="G229" s="140">
        <f t="shared" si="23"/>
        <v>0.3</v>
      </c>
      <c r="H229" s="140">
        <f t="shared" si="23"/>
        <v>0.3</v>
      </c>
      <c r="I229" s="140">
        <f t="shared" si="23"/>
        <v>0.3</v>
      </c>
      <c r="J229" s="140">
        <f t="shared" si="23"/>
        <v>0.3</v>
      </c>
      <c r="K229" s="140">
        <f t="shared" si="23"/>
        <v>0.3</v>
      </c>
      <c r="L229" s="140">
        <f t="shared" si="23"/>
        <v>0.3</v>
      </c>
      <c r="M229" s="140">
        <f t="shared" si="23"/>
        <v>0.3</v>
      </c>
      <c r="N229" s="140">
        <f t="shared" si="23"/>
        <v>0.3</v>
      </c>
      <c r="O229" s="140">
        <f t="shared" si="23"/>
        <v>0.3</v>
      </c>
      <c r="P229" s="140">
        <f t="shared" si="23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2"/>
        <v>0</v>
      </c>
      <c r="C230" s="128">
        <v>0.4</v>
      </c>
      <c r="D230" s="128">
        <f t="shared" si="23"/>
        <v>0.4</v>
      </c>
      <c r="E230" s="128">
        <f t="shared" si="23"/>
        <v>0.4</v>
      </c>
      <c r="F230" s="128">
        <f t="shared" si="23"/>
        <v>0.4</v>
      </c>
      <c r="G230" s="128">
        <f t="shared" si="23"/>
        <v>0.4</v>
      </c>
      <c r="H230" s="128">
        <f t="shared" si="23"/>
        <v>0.4</v>
      </c>
      <c r="I230" s="128">
        <f t="shared" si="23"/>
        <v>0.4</v>
      </c>
      <c r="J230" s="128">
        <f t="shared" si="23"/>
        <v>0.4</v>
      </c>
      <c r="K230" s="128">
        <f t="shared" si="23"/>
        <v>0.4</v>
      </c>
      <c r="L230" s="128">
        <f t="shared" si="23"/>
        <v>0.4</v>
      </c>
      <c r="M230" s="128">
        <f t="shared" si="23"/>
        <v>0.4</v>
      </c>
      <c r="N230" s="128">
        <f t="shared" si="23"/>
        <v>0.4</v>
      </c>
      <c r="O230" s="128">
        <f t="shared" si="23"/>
        <v>0.4</v>
      </c>
      <c r="P230" s="128">
        <f t="shared" si="23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2"/>
        <v>0</v>
      </c>
      <c r="C231" s="128">
        <v>1.5</v>
      </c>
      <c r="D231" s="128">
        <f t="shared" si="23"/>
        <v>1.5</v>
      </c>
      <c r="E231" s="128">
        <f t="shared" si="23"/>
        <v>1.5</v>
      </c>
      <c r="F231" s="128">
        <f t="shared" si="23"/>
        <v>1.5</v>
      </c>
      <c r="G231" s="128">
        <f t="shared" si="23"/>
        <v>1.5</v>
      </c>
      <c r="H231" s="128">
        <f t="shared" si="23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3"/>
        <v>123.21900000000009</v>
      </c>
      <c r="K231" s="128">
        <f t="shared" ca="1" si="23"/>
        <v>123.21900000000009</v>
      </c>
      <c r="L231" s="128">
        <f t="shared" ca="1" si="23"/>
        <v>123.21900000000009</v>
      </c>
      <c r="M231" s="128">
        <f t="shared" ca="1" si="23"/>
        <v>119.19900000000008</v>
      </c>
      <c r="N231" s="128">
        <f t="shared" ca="1" si="23"/>
        <v>119.19900000000008</v>
      </c>
      <c r="O231" s="128">
        <f t="shared" ca="1" si="23"/>
        <v>119.19900000000008</v>
      </c>
      <c r="P231" s="128">
        <f t="shared" ca="1" si="23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2"/>
        <v>0</v>
      </c>
      <c r="C232" s="128">
        <v>0.3</v>
      </c>
      <c r="D232" s="128">
        <f t="shared" si="23"/>
        <v>0.3</v>
      </c>
      <c r="E232" s="128">
        <f t="shared" si="23"/>
        <v>0.3</v>
      </c>
      <c r="F232" s="128">
        <f t="shared" si="23"/>
        <v>0.3</v>
      </c>
      <c r="G232" s="128">
        <f t="shared" si="23"/>
        <v>0.3</v>
      </c>
      <c r="H232" s="128">
        <f t="shared" si="23"/>
        <v>0.3</v>
      </c>
      <c r="I232" s="128">
        <f t="shared" si="23"/>
        <v>0.3</v>
      </c>
      <c r="J232" s="128">
        <f t="shared" si="23"/>
        <v>0.3</v>
      </c>
      <c r="K232" s="128">
        <f t="shared" si="23"/>
        <v>0.3</v>
      </c>
      <c r="L232" s="128">
        <f t="shared" si="23"/>
        <v>0.3</v>
      </c>
      <c r="M232" s="128">
        <f t="shared" si="23"/>
        <v>0.3</v>
      </c>
      <c r="N232" s="128">
        <f t="shared" si="23"/>
        <v>0.3</v>
      </c>
      <c r="O232" s="128">
        <f t="shared" si="23"/>
        <v>0.3</v>
      </c>
      <c r="P232" s="128">
        <f t="shared" si="23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2"/>
        <v>0</v>
      </c>
      <c r="C233" s="128">
        <v>0.4</v>
      </c>
      <c r="D233" s="128">
        <f t="shared" si="23"/>
        <v>0.4</v>
      </c>
      <c r="E233" s="128">
        <f t="shared" si="23"/>
        <v>0.4</v>
      </c>
      <c r="F233" s="128">
        <f t="shared" si="23"/>
        <v>0.4</v>
      </c>
      <c r="G233" s="128">
        <f t="shared" si="23"/>
        <v>0.4</v>
      </c>
      <c r="H233" s="128">
        <f t="shared" si="23"/>
        <v>0.4</v>
      </c>
      <c r="I233" s="128">
        <f t="shared" si="23"/>
        <v>0.4</v>
      </c>
      <c r="J233" s="128">
        <f t="shared" si="23"/>
        <v>0.4</v>
      </c>
      <c r="K233" s="128">
        <f t="shared" si="23"/>
        <v>0.4</v>
      </c>
      <c r="L233" s="128">
        <f t="shared" si="23"/>
        <v>0.4</v>
      </c>
      <c r="M233" s="128">
        <f t="shared" si="23"/>
        <v>0.4</v>
      </c>
      <c r="N233" s="128">
        <f t="shared" si="23"/>
        <v>0.4</v>
      </c>
      <c r="O233" s="128">
        <f t="shared" si="23"/>
        <v>0.4</v>
      </c>
      <c r="P233" s="128">
        <f t="shared" si="23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2"/>
        <v>0</v>
      </c>
      <c r="C234" s="132">
        <v>0.64</v>
      </c>
      <c r="D234" s="132">
        <f t="shared" si="23"/>
        <v>0.64</v>
      </c>
      <c r="E234" s="132">
        <f t="shared" si="23"/>
        <v>0.64</v>
      </c>
      <c r="F234" s="132">
        <f t="shared" si="23"/>
        <v>0.64</v>
      </c>
      <c r="G234" s="132">
        <f t="shared" si="23"/>
        <v>0.64</v>
      </c>
      <c r="H234" s="132">
        <f t="shared" si="23"/>
        <v>0.64</v>
      </c>
      <c r="I234" s="132">
        <f t="shared" si="23"/>
        <v>0.64</v>
      </c>
      <c r="J234" s="132">
        <f t="shared" si="23"/>
        <v>0.64</v>
      </c>
      <c r="K234" s="132">
        <f t="shared" si="23"/>
        <v>0.64</v>
      </c>
      <c r="L234" s="132">
        <f t="shared" si="23"/>
        <v>0.64</v>
      </c>
      <c r="M234" s="132">
        <f t="shared" si="23"/>
        <v>0.64</v>
      </c>
      <c r="N234" s="132">
        <f t="shared" si="23"/>
        <v>0.64</v>
      </c>
      <c r="O234" s="132">
        <f t="shared" si="23"/>
        <v>0.64</v>
      </c>
      <c r="P234" s="132">
        <f t="shared" si="23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4">SUM(B229:B234)</f>
        <v>0</v>
      </c>
      <c r="C235" s="136">
        <f t="shared" si="24"/>
        <v>3.54</v>
      </c>
      <c r="D235" s="136">
        <f t="shared" si="24"/>
        <v>3.54</v>
      </c>
      <c r="E235" s="136">
        <f t="shared" si="24"/>
        <v>3.54</v>
      </c>
      <c r="F235" s="136">
        <f t="shared" si="24"/>
        <v>3.54</v>
      </c>
      <c r="G235" s="136">
        <f t="shared" si="24"/>
        <v>3.54</v>
      </c>
      <c r="H235" s="136">
        <f t="shared" si="24"/>
        <v>3.54</v>
      </c>
      <c r="I235" s="136">
        <f t="shared" ca="1" si="24"/>
        <v>121.23900000000009</v>
      </c>
      <c r="J235" s="136">
        <f t="shared" ca="1" si="24"/>
        <v>121.23900000000009</v>
      </c>
      <c r="K235" s="136">
        <f t="shared" ca="1" si="24"/>
        <v>121.23900000000009</v>
      </c>
      <c r="L235" s="136">
        <f t="shared" ca="1" si="24"/>
        <v>125.2590000000001</v>
      </c>
      <c r="M235" s="136">
        <f t="shared" ca="1" si="24"/>
        <v>121.23900000000009</v>
      </c>
      <c r="N235" s="136">
        <f t="shared" ca="1" si="24"/>
        <v>121.23900000000009</v>
      </c>
      <c r="O235" s="136">
        <f t="shared" ca="1" si="24"/>
        <v>121.23900000000009</v>
      </c>
      <c r="P235" s="136">
        <f t="shared" ca="1" si="24"/>
        <v>121.23900000000009</v>
      </c>
      <c r="Q235" s="136">
        <f t="shared" si="24"/>
        <v>0</v>
      </c>
      <c r="R235" s="136">
        <f t="shared" si="24"/>
        <v>0</v>
      </c>
      <c r="S235" s="136">
        <f t="shared" si="24"/>
        <v>0</v>
      </c>
      <c r="T235" s="136">
        <f t="shared" si="24"/>
        <v>0</v>
      </c>
      <c r="U235" s="136">
        <f t="shared" si="24"/>
        <v>0</v>
      </c>
      <c r="V235" s="136">
        <f t="shared" si="24"/>
        <v>0</v>
      </c>
      <c r="W235" s="136">
        <f t="shared" si="24"/>
        <v>0</v>
      </c>
      <c r="X235" s="136">
        <f t="shared" si="24"/>
        <v>0</v>
      </c>
      <c r="Y235" s="136">
        <f t="shared" si="24"/>
        <v>0</v>
      </c>
      <c r="Z235" s="136">
        <f t="shared" si="24"/>
        <v>0</v>
      </c>
      <c r="AA235" s="136">
        <f t="shared" si="24"/>
        <v>0</v>
      </c>
      <c r="AB235" s="136">
        <f t="shared" si="24"/>
        <v>0</v>
      </c>
      <c r="AC235" s="136">
        <f t="shared" si="24"/>
        <v>0</v>
      </c>
      <c r="AD235" s="136">
        <f t="shared" si="24"/>
        <v>0</v>
      </c>
      <c r="AE235" s="136">
        <f t="shared" si="24"/>
        <v>0</v>
      </c>
      <c r="AF235" s="136">
        <f t="shared" si="24"/>
        <v>0</v>
      </c>
      <c r="AG235" s="145">
        <f t="shared" si="24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2139.84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05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2080/05/5)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2080/05/5)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5">B91</f>
        <v>1970.44</v>
      </c>
      <c r="U249" s="170">
        <f t="shared" si="25"/>
        <v>2001.94</v>
      </c>
      <c r="V249" s="170">
        <f t="shared" si="25"/>
        <v>2001.94</v>
      </c>
      <c r="W249" s="170">
        <f t="shared" si="25"/>
        <v>2001.94</v>
      </c>
      <c r="X249" s="170">
        <f t="shared" si="25"/>
        <v>2001.94</v>
      </c>
      <c r="Y249" s="170">
        <f t="shared" si="25"/>
        <v>2001.94</v>
      </c>
      <c r="Z249" s="170">
        <f t="shared" si="25"/>
        <v>2009.94</v>
      </c>
      <c r="AA249" s="170">
        <f t="shared" si="25"/>
        <v>2009.94</v>
      </c>
      <c r="AB249" s="170">
        <f t="shared" si="25"/>
        <v>2009.94</v>
      </c>
      <c r="AC249" s="170">
        <f t="shared" si="25"/>
        <v>2013.44</v>
      </c>
      <c r="AD249" s="170">
        <f t="shared" si="25"/>
        <v>2074.94</v>
      </c>
      <c r="AE249" s="170">
        <f t="shared" si="25"/>
        <v>2139.84</v>
      </c>
      <c r="AF249" s="170">
        <f t="shared" si="25"/>
        <v>2134.94</v>
      </c>
      <c r="AG249" s="170">
        <f t="shared" si="25"/>
        <v>2132.7400000000002</v>
      </c>
      <c r="AH249" s="170">
        <f t="shared" si="25"/>
        <v>2126.84</v>
      </c>
      <c r="AI249" s="170">
        <f t="shared" si="25"/>
        <v>2116.1400000000003</v>
      </c>
      <c r="AJ249" s="170">
        <f t="shared" si="25"/>
        <v>2120.34</v>
      </c>
      <c r="AK249" s="170">
        <f t="shared" si="25"/>
        <v>2085.94</v>
      </c>
      <c r="AL249" s="170">
        <f t="shared" si="25"/>
        <v>2074.7400000000002</v>
      </c>
      <c r="AM249" s="170">
        <f t="shared" si="25"/>
        <v>2083.14</v>
      </c>
      <c r="AN249" s="170">
        <f t="shared" si="25"/>
        <v>2078.54</v>
      </c>
      <c r="AO249" s="170">
        <f t="shared" si="25"/>
        <v>2078.54</v>
      </c>
      <c r="AP249" s="170">
        <f t="shared" si="25"/>
        <v>2078.54</v>
      </c>
      <c r="AQ249" s="170">
        <f t="shared" si="25"/>
        <v>2159.64</v>
      </c>
      <c r="AR249" s="170">
        <f t="shared" si="25"/>
        <v>2169.44</v>
      </c>
      <c r="AS249" s="170">
        <f t="shared" si="25"/>
        <v>2148.94</v>
      </c>
      <c r="AT249" s="170">
        <f t="shared" si="25"/>
        <v>2113.8399999999997</v>
      </c>
      <c r="AU249" s="170">
        <f t="shared" si="25"/>
        <v>2115.3399999999997</v>
      </c>
      <c r="AV249" s="170">
        <f t="shared" si="25"/>
        <v>2101.7399999999998</v>
      </c>
      <c r="AW249" s="170">
        <f t="shared" si="25"/>
        <v>2101.7399999999998</v>
      </c>
      <c r="AX249" s="170">
        <f t="shared" si="25"/>
        <v>2024.8400000000001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6">C234</f>
        <v>0.64</v>
      </c>
      <c r="C270" s="173">
        <f t="shared" si="26"/>
        <v>0.64</v>
      </c>
      <c r="D270" s="173">
        <f t="shared" si="26"/>
        <v>0.64</v>
      </c>
      <c r="E270" s="173">
        <f t="shared" si="26"/>
        <v>0.64</v>
      </c>
      <c r="F270" s="173">
        <f t="shared" si="26"/>
        <v>0.64</v>
      </c>
      <c r="G270" s="173">
        <f t="shared" si="26"/>
        <v>0.64</v>
      </c>
      <c r="H270" s="173">
        <f t="shared" si="26"/>
        <v>0.64</v>
      </c>
      <c r="I270" s="173">
        <f t="shared" si="26"/>
        <v>0.64</v>
      </c>
      <c r="J270" s="173">
        <f t="shared" si="26"/>
        <v>0.64</v>
      </c>
      <c r="K270" s="173">
        <f t="shared" si="26"/>
        <v>0.64</v>
      </c>
      <c r="L270" s="173">
        <f t="shared" si="26"/>
        <v>0.64</v>
      </c>
      <c r="M270" s="173">
        <f t="shared" si="26"/>
        <v>0.64</v>
      </c>
      <c r="N270" s="173">
        <f t="shared" si="26"/>
        <v>0.64</v>
      </c>
      <c r="O270" s="173">
        <f t="shared" si="26"/>
        <v>0.64</v>
      </c>
      <c r="P270" s="173">
        <f t="shared" si="26"/>
        <v>0</v>
      </c>
      <c r="Q270" s="173">
        <f t="shared" si="26"/>
        <v>0</v>
      </c>
      <c r="R270" s="173">
        <f t="shared" si="26"/>
        <v>0</v>
      </c>
      <c r="S270" s="173">
        <f t="shared" si="26"/>
        <v>0</v>
      </c>
      <c r="T270" s="173">
        <f t="shared" si="26"/>
        <v>0</v>
      </c>
      <c r="U270" s="173">
        <f t="shared" si="26"/>
        <v>0</v>
      </c>
      <c r="V270" s="173">
        <f t="shared" si="26"/>
        <v>0</v>
      </c>
      <c r="W270" s="173">
        <f t="shared" si="26"/>
        <v>0</v>
      </c>
      <c r="X270" s="173">
        <f t="shared" si="26"/>
        <v>0</v>
      </c>
      <c r="Y270" s="173">
        <f t="shared" si="26"/>
        <v>0</v>
      </c>
      <c r="Z270" s="173">
        <f t="shared" si="26"/>
        <v>0</v>
      </c>
      <c r="AA270" s="173">
        <f t="shared" si="26"/>
        <v>0</v>
      </c>
      <c r="AB270" s="173">
        <f t="shared" si="26"/>
        <v>0</v>
      </c>
      <c r="AC270" s="173">
        <f t="shared" si="26"/>
        <v>0</v>
      </c>
      <c r="AD270" s="173">
        <f t="shared" si="26"/>
        <v>0</v>
      </c>
      <c r="AE270" s="173">
        <f t="shared" si="26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7">IF(B238&lt;100,"",B238-520)</f>
        <v/>
      </c>
      <c r="C271" s="174" t="str">
        <f t="shared" si="27"/>
        <v/>
      </c>
      <c r="D271" s="174" t="str">
        <f t="shared" si="27"/>
        <v/>
      </c>
      <c r="E271" s="174" t="str">
        <f t="shared" si="27"/>
        <v/>
      </c>
      <c r="F271" s="174" t="str">
        <f t="shared" si="27"/>
        <v/>
      </c>
      <c r="G271" s="174" t="str">
        <f t="shared" si="27"/>
        <v/>
      </c>
      <c r="H271" s="174" t="str">
        <f t="shared" si="27"/>
        <v/>
      </c>
      <c r="I271" s="174" t="str">
        <f t="shared" si="27"/>
        <v/>
      </c>
      <c r="J271" s="174" t="str">
        <f t="shared" si="27"/>
        <v/>
      </c>
      <c r="K271" s="174" t="str">
        <f t="shared" si="27"/>
        <v/>
      </c>
      <c r="L271" s="174" t="str">
        <f t="shared" si="27"/>
        <v/>
      </c>
      <c r="M271" s="174" t="str">
        <f t="shared" si="27"/>
        <v/>
      </c>
      <c r="N271" s="174" t="str">
        <f t="shared" si="27"/>
        <v/>
      </c>
      <c r="O271" s="174" t="str">
        <f t="shared" si="27"/>
        <v/>
      </c>
      <c r="P271" s="174" t="str">
        <f t="shared" si="27"/>
        <v/>
      </c>
      <c r="Q271" s="174" t="str">
        <f t="shared" si="27"/>
        <v/>
      </c>
      <c r="R271" s="174" t="str">
        <f t="shared" si="27"/>
        <v/>
      </c>
      <c r="S271" s="174" t="str">
        <f t="shared" si="27"/>
        <v/>
      </c>
      <c r="T271" s="174" t="str">
        <f t="shared" si="27"/>
        <v/>
      </c>
      <c r="U271" s="174" t="str">
        <f t="shared" si="27"/>
        <v/>
      </c>
      <c r="V271" s="174" t="str">
        <f t="shared" si="27"/>
        <v/>
      </c>
      <c r="W271" s="174" t="str">
        <f t="shared" si="27"/>
        <v/>
      </c>
      <c r="X271" s="174" t="str">
        <f t="shared" si="27"/>
        <v/>
      </c>
      <c r="Y271" s="174" t="str">
        <f t="shared" si="27"/>
        <v/>
      </c>
      <c r="Z271" s="174" t="str">
        <f t="shared" si="27"/>
        <v/>
      </c>
      <c r="AA271" s="174" t="str">
        <f t="shared" si="27"/>
        <v/>
      </c>
      <c r="AB271" s="174" t="str">
        <f t="shared" si="27"/>
        <v/>
      </c>
      <c r="AC271" s="174" t="str">
        <f t="shared" si="27"/>
        <v/>
      </c>
      <c r="AD271" s="174" t="str">
        <f t="shared" si="27"/>
        <v/>
      </c>
      <c r="AE271" s="174" t="str">
        <f t="shared" si="27"/>
        <v/>
      </c>
      <c r="AF271" s="174" t="str">
        <f t="shared" si="27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8">IF(B239&lt;100,"",B239-620)</f>
        <v/>
      </c>
      <c r="C272" s="174" t="str">
        <f t="shared" si="28"/>
        <v/>
      </c>
      <c r="D272" s="174" t="str">
        <f t="shared" si="28"/>
        <v/>
      </c>
      <c r="E272" s="174" t="str">
        <f t="shared" si="28"/>
        <v/>
      </c>
      <c r="F272" s="174" t="str">
        <f t="shared" si="28"/>
        <v/>
      </c>
      <c r="G272" s="174" t="str">
        <f t="shared" si="28"/>
        <v/>
      </c>
      <c r="H272" s="174" t="str">
        <f t="shared" si="28"/>
        <v/>
      </c>
      <c r="I272" s="174" t="str">
        <f t="shared" si="28"/>
        <v/>
      </c>
      <c r="J272" s="174" t="str">
        <f t="shared" si="28"/>
        <v/>
      </c>
      <c r="K272" s="174" t="str">
        <f t="shared" si="28"/>
        <v/>
      </c>
      <c r="L272" s="174" t="str">
        <f t="shared" si="28"/>
        <v/>
      </c>
      <c r="M272" s="174" t="str">
        <f t="shared" si="28"/>
        <v/>
      </c>
      <c r="N272" s="174" t="str">
        <f t="shared" si="28"/>
        <v/>
      </c>
      <c r="O272" s="174" t="str">
        <f t="shared" si="28"/>
        <v/>
      </c>
      <c r="P272" s="174" t="str">
        <f t="shared" si="28"/>
        <v/>
      </c>
      <c r="Q272" s="174" t="str">
        <f t="shared" si="28"/>
        <v/>
      </c>
      <c r="R272" s="174" t="str">
        <f t="shared" si="28"/>
        <v/>
      </c>
      <c r="S272" s="174" t="str">
        <f t="shared" si="28"/>
        <v/>
      </c>
      <c r="T272" s="174" t="str">
        <f t="shared" si="28"/>
        <v/>
      </c>
      <c r="U272" s="174" t="str">
        <f t="shared" si="28"/>
        <v/>
      </c>
      <c r="V272" s="174" t="str">
        <f t="shared" si="28"/>
        <v/>
      </c>
      <c r="W272" s="174" t="str">
        <f t="shared" si="28"/>
        <v/>
      </c>
      <c r="X272" s="174" t="str">
        <f t="shared" si="28"/>
        <v/>
      </c>
      <c r="Y272" s="174" t="str">
        <f t="shared" si="28"/>
        <v/>
      </c>
      <c r="Z272" s="174" t="str">
        <f t="shared" si="28"/>
        <v/>
      </c>
      <c r="AA272" s="174" t="str">
        <f t="shared" si="28"/>
        <v/>
      </c>
      <c r="AB272" s="174" t="str">
        <f t="shared" si="28"/>
        <v/>
      </c>
      <c r="AC272" s="174" t="str">
        <f t="shared" si="28"/>
        <v/>
      </c>
      <c r="AD272" s="174" t="str">
        <f t="shared" si="28"/>
        <v/>
      </c>
      <c r="AE272" s="174" t="str">
        <f t="shared" si="28"/>
        <v/>
      </c>
      <c r="AF272" s="174" t="str">
        <f t="shared" si="28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9">IF(B240&lt;100,"",B240-330)</f>
        <v/>
      </c>
      <c r="C273" s="174" t="str">
        <f t="shared" si="29"/>
        <v/>
      </c>
      <c r="D273" s="174" t="str">
        <f t="shared" si="29"/>
        <v/>
      </c>
      <c r="E273" s="174" t="str">
        <f t="shared" si="29"/>
        <v/>
      </c>
      <c r="F273" s="174" t="str">
        <f t="shared" si="29"/>
        <v/>
      </c>
      <c r="G273" s="174" t="str">
        <f t="shared" si="29"/>
        <v/>
      </c>
      <c r="H273" s="174" t="str">
        <f t="shared" si="29"/>
        <v/>
      </c>
      <c r="I273" s="174" t="str">
        <f t="shared" si="29"/>
        <v/>
      </c>
      <c r="J273" s="174" t="str">
        <f t="shared" si="29"/>
        <v/>
      </c>
      <c r="K273" s="174" t="str">
        <f t="shared" si="29"/>
        <v/>
      </c>
      <c r="L273" s="174" t="str">
        <f t="shared" si="29"/>
        <v/>
      </c>
      <c r="M273" s="174" t="str">
        <f t="shared" si="29"/>
        <v/>
      </c>
      <c r="N273" s="174" t="str">
        <f t="shared" si="29"/>
        <v/>
      </c>
      <c r="O273" s="174" t="str">
        <f t="shared" si="29"/>
        <v/>
      </c>
      <c r="P273" s="174" t="str">
        <f t="shared" si="29"/>
        <v/>
      </c>
      <c r="Q273" s="174" t="str">
        <f t="shared" si="29"/>
        <v/>
      </c>
      <c r="R273" s="174" t="str">
        <f t="shared" si="29"/>
        <v/>
      </c>
      <c r="S273" s="174" t="str">
        <f t="shared" si="29"/>
        <v/>
      </c>
      <c r="T273" s="174" t="str">
        <f t="shared" si="29"/>
        <v/>
      </c>
      <c r="U273" s="174" t="str">
        <f t="shared" si="29"/>
        <v/>
      </c>
      <c r="V273" s="174" t="str">
        <f t="shared" si="29"/>
        <v/>
      </c>
      <c r="W273" s="174" t="str">
        <f t="shared" si="29"/>
        <v/>
      </c>
      <c r="X273" s="174" t="str">
        <f t="shared" si="29"/>
        <v/>
      </c>
      <c r="Y273" s="174" t="str">
        <f t="shared" si="29"/>
        <v/>
      </c>
      <c r="Z273" s="174" t="str">
        <f t="shared" si="29"/>
        <v/>
      </c>
      <c r="AA273" s="174" t="str">
        <f t="shared" si="29"/>
        <v/>
      </c>
      <c r="AB273" s="174" t="str">
        <f t="shared" si="29"/>
        <v/>
      </c>
      <c r="AC273" s="174" t="str">
        <f t="shared" si="29"/>
        <v/>
      </c>
      <c r="AD273" s="174" t="str">
        <f t="shared" si="29"/>
        <v/>
      </c>
      <c r="AE273" s="174" t="str">
        <f t="shared" si="29"/>
        <v/>
      </c>
      <c r="AF273" s="174" t="str">
        <f t="shared" si="29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0">IF(B241&lt;100,"",B241-1500)</f>
        <v/>
      </c>
      <c r="C274" s="174" t="str">
        <f t="shared" si="30"/>
        <v/>
      </c>
      <c r="D274" s="174" t="str">
        <f t="shared" si="30"/>
        <v/>
      </c>
      <c r="E274" s="174" t="str">
        <f t="shared" si="30"/>
        <v/>
      </c>
      <c r="F274" s="174" t="str">
        <f t="shared" si="30"/>
        <v/>
      </c>
      <c r="G274" s="174" t="str">
        <f t="shared" si="30"/>
        <v/>
      </c>
      <c r="H274" s="174" t="str">
        <f t="shared" si="30"/>
        <v/>
      </c>
      <c r="I274" s="174" t="str">
        <f t="shared" si="30"/>
        <v/>
      </c>
      <c r="J274" s="174" t="str">
        <f t="shared" si="30"/>
        <v/>
      </c>
      <c r="K274" s="174" t="str">
        <f t="shared" si="30"/>
        <v/>
      </c>
      <c r="L274" s="174" t="str">
        <f t="shared" si="30"/>
        <v/>
      </c>
      <c r="M274" s="174" t="str">
        <f t="shared" si="30"/>
        <v/>
      </c>
      <c r="N274" s="174" t="str">
        <f t="shared" si="30"/>
        <v/>
      </c>
      <c r="O274" s="174" t="str">
        <f t="shared" si="30"/>
        <v/>
      </c>
      <c r="P274" s="174" t="str">
        <f t="shared" si="30"/>
        <v/>
      </c>
      <c r="Q274" s="174" t="str">
        <f t="shared" si="30"/>
        <v/>
      </c>
      <c r="R274" s="174" t="str">
        <f t="shared" si="30"/>
        <v/>
      </c>
      <c r="S274" s="174" t="str">
        <f t="shared" si="30"/>
        <v/>
      </c>
      <c r="T274" s="174" t="str">
        <f t="shared" si="30"/>
        <v/>
      </c>
      <c r="U274" s="174" t="str">
        <f t="shared" si="30"/>
        <v/>
      </c>
      <c r="V274" s="174" t="str">
        <f t="shared" si="30"/>
        <v/>
      </c>
      <c r="W274" s="174" t="str">
        <f t="shared" si="30"/>
        <v/>
      </c>
      <c r="X274" s="174" t="str">
        <f t="shared" si="30"/>
        <v/>
      </c>
      <c r="Y274" s="174" t="str">
        <f t="shared" si="30"/>
        <v/>
      </c>
      <c r="Z274" s="174" t="str">
        <f t="shared" si="30"/>
        <v/>
      </c>
      <c r="AA274" s="174" t="str">
        <f t="shared" si="30"/>
        <v/>
      </c>
      <c r="AB274" s="174" t="str">
        <f t="shared" si="30"/>
        <v/>
      </c>
      <c r="AC274" s="174" t="str">
        <f t="shared" si="30"/>
        <v/>
      </c>
      <c r="AD274" s="174" t="str">
        <f t="shared" si="30"/>
        <v/>
      </c>
      <c r="AE274" s="174" t="str">
        <f t="shared" si="30"/>
        <v/>
      </c>
      <c r="AF274" s="174" t="str">
        <f t="shared" si="30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373" priority="64">
      <formula>$AH11=0</formula>
    </cfRule>
  </conditionalFormatting>
  <conditionalFormatting sqref="B8 M8 S8 AB8">
    <cfRule type="expression" dxfId="3372" priority="115">
      <formula>AND(C$9&gt;=14/24,C$9&lt;20/24)</formula>
    </cfRule>
    <cfRule type="expression" dxfId="3371" priority="116">
      <formula>AND(C$9&gt;=8/24,C$9&lt;14/24)</formula>
    </cfRule>
    <cfRule type="expression" dxfId="3370" priority="117">
      <formula>C$9&lt;8/24</formula>
    </cfRule>
  </conditionalFormatting>
  <conditionalFormatting sqref="B54:L54">
    <cfRule type="expression" dxfId="3369" priority="38">
      <formula>B$9&gt;=20/24</formula>
    </cfRule>
    <cfRule type="expression" dxfId="3368" priority="39">
      <formula>AND(B$9&gt;=14/24,B$9&lt;20/24)</formula>
    </cfRule>
    <cfRule type="expression" dxfId="3367" priority="40">
      <formula>AND(B$9&gt;=8/24,B$9&lt;14/24)</formula>
    </cfRule>
    <cfRule type="expression" dxfId="3366" priority="41">
      <formula>B$9&lt;8/24</formula>
    </cfRule>
  </conditionalFormatting>
  <conditionalFormatting sqref="B54:L66 M59:AA59 M61:AA66">
    <cfRule type="expression" dxfId="3365" priority="33">
      <formula>B54&gt;$AG54</formula>
    </cfRule>
  </conditionalFormatting>
  <conditionalFormatting sqref="B55:L59 M59:AA59">
    <cfRule type="expression" dxfId="3364" priority="60">
      <formula>B$9&gt;=20/24</formula>
    </cfRule>
    <cfRule type="expression" dxfId="3363" priority="61">
      <formula>AND(B$9&gt;=14/24,B$9&lt;20/24)</formula>
    </cfRule>
    <cfRule type="expression" dxfId="3362" priority="62">
      <formula>AND(B$9&gt;=8/24,B$9&lt;14/24)</formula>
    </cfRule>
    <cfRule type="expression" dxfId="3361" priority="63">
      <formula>B$9&lt;8/24</formula>
    </cfRule>
  </conditionalFormatting>
  <conditionalFormatting sqref="B60:AA60">
    <cfRule type="expression" dxfId="3360" priority="51">
      <formula>B$9&gt;=20/24</formula>
    </cfRule>
    <cfRule type="expression" dxfId="3359" priority="52">
      <formula>AND(B$9&gt;=14/24,B$9&lt;20/24)</formula>
    </cfRule>
    <cfRule type="expression" dxfId="3358" priority="53">
      <formula>AND(B$9&gt;=8/24,B$9&lt;14/24)</formula>
    </cfRule>
    <cfRule type="expression" dxfId="3357" priority="54">
      <formula>B$9&lt;8/24</formula>
    </cfRule>
  </conditionalFormatting>
  <conditionalFormatting sqref="B61:AF66">
    <cfRule type="expression" dxfId="3356" priority="34">
      <formula>B$9&gt;=20/24</formula>
    </cfRule>
    <cfRule type="expression" dxfId="3355" priority="35">
      <formula>AND(B$9&gt;=14/24,B$9&lt;20/24)</formula>
    </cfRule>
    <cfRule type="expression" dxfId="3354" priority="36">
      <formula>AND(B$9&gt;=8/24,B$9&lt;14/24)</formula>
    </cfRule>
    <cfRule type="expression" dxfId="3353" priority="37">
      <formula>B$9&lt;8/24</formula>
    </cfRule>
  </conditionalFormatting>
  <conditionalFormatting sqref="B9:AF45">
    <cfRule type="expression" dxfId="3352" priority="23">
      <formula>B$9&gt;=20/24</formula>
    </cfRule>
    <cfRule type="expression" dxfId="3351" priority="24">
      <formula>AND(B$9&gt;=14/24,B$9&lt;20/24)</formula>
    </cfRule>
    <cfRule type="expression" dxfId="3350" priority="25">
      <formula>AND(B$9&gt;=8/24,B$9&lt;14/24)</formula>
    </cfRule>
    <cfRule type="expression" dxfId="3349" priority="26">
      <formula>B$9&lt;8/24</formula>
    </cfRule>
  </conditionalFormatting>
  <conditionalFormatting sqref="B11:AF46">
    <cfRule type="expression" dxfId="3348" priority="22">
      <formula>B11&gt;$AG11</formula>
    </cfRule>
  </conditionalFormatting>
  <conditionalFormatting sqref="B46:AF46">
    <cfRule type="expression" dxfId="3347" priority="18">
      <formula>B$9&gt;=20/24</formula>
    </cfRule>
    <cfRule type="expression" dxfId="3346" priority="19">
      <formula>AND(B$9&gt;=14/24,B$9&lt;20/24)</formula>
    </cfRule>
    <cfRule type="expression" dxfId="3345" priority="20">
      <formula>AND(B$9&gt;=8/24,B$9&lt;14/24)</formula>
    </cfRule>
    <cfRule type="expression" dxfId="3344" priority="21">
      <formula>B$9&lt;8/24</formula>
    </cfRule>
  </conditionalFormatting>
  <conditionalFormatting sqref="B47:AF47">
    <cfRule type="expression" dxfId="3343" priority="32">
      <formula>B47&gt;$AG47</formula>
    </cfRule>
  </conditionalFormatting>
  <conditionalFormatting sqref="B47:AF49">
    <cfRule type="expression" dxfId="3342" priority="28">
      <formula>B$9&gt;=20/24</formula>
    </cfRule>
    <cfRule type="expression" dxfId="3341" priority="29">
      <formula>AND(B$9&gt;=14/24,B$9&lt;20/24)</formula>
    </cfRule>
    <cfRule type="expression" dxfId="3340" priority="30">
      <formula>AND(B$9&gt;=8/24,B$9&lt;14/24)</formula>
    </cfRule>
    <cfRule type="expression" dxfId="3339" priority="31">
      <formula>B$9&lt;8/24</formula>
    </cfRule>
  </conditionalFormatting>
  <conditionalFormatting sqref="B48:AF53">
    <cfRule type="expression" dxfId="3338" priority="27">
      <formula>B48&gt;$AG48</formula>
    </cfRule>
  </conditionalFormatting>
  <conditionalFormatting sqref="B51:AF53">
    <cfRule type="expression" dxfId="3337" priority="47">
      <formula>B$9&gt;=20/24</formula>
    </cfRule>
    <cfRule type="expression" dxfId="3336" priority="48">
      <formula>AND(B$9&gt;=14/24,B$9&lt;20/24)</formula>
    </cfRule>
    <cfRule type="expression" dxfId="3335" priority="49">
      <formula>AND(B$9&gt;=8/24,B$9&lt;14/24)</formula>
    </cfRule>
    <cfRule type="expression" dxfId="3334" priority="50">
      <formula>B$9&lt;8/24</formula>
    </cfRule>
  </conditionalFormatting>
  <conditionalFormatting sqref="B69:AF71">
    <cfRule type="expression" dxfId="3333" priority="55">
      <formula>B69&gt;$AG69</formula>
    </cfRule>
    <cfRule type="expression" dxfId="3332" priority="56">
      <formula>B$9&gt;=20/24</formula>
    </cfRule>
    <cfRule type="expression" dxfId="3331" priority="57">
      <formula>AND(B$9&gt;=14/24,B$9&lt;20/24)</formula>
    </cfRule>
    <cfRule type="expression" dxfId="3330" priority="58">
      <formula>AND(B$9&gt;=8/24,B$9&lt;14/24)</formula>
    </cfRule>
    <cfRule type="expression" dxfId="3329" priority="59">
      <formula>B$9&lt;8/24</formula>
    </cfRule>
  </conditionalFormatting>
  <conditionalFormatting sqref="B73:AF91">
    <cfRule type="expression" dxfId="3328" priority="1">
      <formula>B$9&gt;=20/24</formula>
    </cfRule>
    <cfRule type="expression" dxfId="3327" priority="2">
      <formula>AND(B$9&gt;=14/24,B$9&lt;20/24)</formula>
    </cfRule>
    <cfRule type="expression" dxfId="3326" priority="3">
      <formula>AND(B$9&gt;=8/24,B$9&lt;14/24)</formula>
    </cfRule>
    <cfRule type="expression" dxfId="3325" priority="4">
      <formula>B$9&lt;8/24</formula>
    </cfRule>
  </conditionalFormatting>
  <conditionalFormatting sqref="B111:AF120">
    <cfRule type="expression" dxfId="3324" priority="14">
      <formula>B$9&gt;=20/24</formula>
    </cfRule>
    <cfRule type="expression" dxfId="3323" priority="15">
      <formula>AND(B$9&gt;=14/24,B$9&lt;20/24)</formula>
    </cfRule>
    <cfRule type="expression" dxfId="3322" priority="16">
      <formula>AND(B$9&gt;=8/24,B$9&lt;14/24)</formula>
    </cfRule>
    <cfRule type="expression" dxfId="3321" priority="17">
      <formula>B$9&lt;8/24</formula>
    </cfRule>
  </conditionalFormatting>
  <conditionalFormatting sqref="B227:AF227 D229:AF230 B229:B235 D231:H231 J231:AF231 D232:AF235 U248:AF248">
    <cfRule type="expression" dxfId="3320" priority="108">
      <formula>B$9&gt;=20/24</formula>
    </cfRule>
    <cfRule type="expression" dxfId="3319" priority="109">
      <formula>AND(B$9&gt;=14/24,B$9&lt;20/24)</formula>
    </cfRule>
    <cfRule type="expression" dxfId="3318" priority="110">
      <formula>AND(B$9&gt;=8/24,B$9&lt;14/24)</formula>
    </cfRule>
    <cfRule type="expression" dxfId="3317" priority="111">
      <formula>B$9&lt;8/24</formula>
    </cfRule>
  </conditionalFormatting>
  <conditionalFormatting sqref="B72:AG72 B67:AG68">
    <cfRule type="expression" dxfId="3316" priority="42">
      <formula>B67&gt;$AG67</formula>
    </cfRule>
  </conditionalFormatting>
  <conditionalFormatting sqref="B93:AF109 B72:AG72">
    <cfRule type="expression" dxfId="3315" priority="43">
      <formula>B$9&gt;=20/24</formula>
    </cfRule>
    <cfRule type="expression" dxfId="3314" priority="44">
      <formula>AND(B$9&gt;=14/24,B$9&lt;20/24)</formula>
    </cfRule>
    <cfRule type="expression" dxfId="3313" priority="45">
      <formula>AND(B$9&gt;=8/24,B$9&lt;14/24)</formula>
    </cfRule>
    <cfRule type="expression" dxfId="3312" priority="46">
      <formula>B$9&lt;8/24</formula>
    </cfRule>
  </conditionalFormatting>
  <conditionalFormatting sqref="M55:AA58 M60:AA66 AB55:AF66">
    <cfRule type="expression" dxfId="3311" priority="5">
      <formula>M55&gt;$AG55</formula>
    </cfRule>
  </conditionalFormatting>
  <conditionalFormatting sqref="M54:AG54">
    <cfRule type="expression" dxfId="3310" priority="76">
      <formula>M54&gt;$AG54</formula>
    </cfRule>
    <cfRule type="expression" dxfId="3309" priority="77">
      <formula>M$9&gt;=20/24</formula>
    </cfRule>
    <cfRule type="expression" dxfId="3308" priority="78">
      <formula>AND(M$9&gt;=14/24,M$9&lt;20/24)</formula>
    </cfRule>
    <cfRule type="expression" dxfId="3307" priority="79">
      <formula>AND(M$9&gt;=8/24,M$9&lt;14/24)</formula>
    </cfRule>
    <cfRule type="expression" dxfId="3306" priority="80">
      <formula>M$9&lt;8/24</formula>
    </cfRule>
  </conditionalFormatting>
  <conditionalFormatting sqref="M55:AA58">
    <cfRule type="expression" dxfId="3305" priority="93">
      <formula>M$9&gt;=20/24</formula>
    </cfRule>
    <cfRule type="expression" dxfId="3304" priority="94">
      <formula>AND(M$9&gt;=14/24,M$9&lt;20/24)</formula>
    </cfRule>
    <cfRule type="expression" dxfId="3303" priority="95">
      <formula>AND(M$9&gt;=8/24,M$9&lt;14/24)</formula>
    </cfRule>
    <cfRule type="expression" dxfId="3302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301" priority="114">
      <formula>C$9&gt;=20/24</formula>
    </cfRule>
  </conditionalFormatting>
  <conditionalFormatting sqref="S8">
    <cfRule type="expression" dxfId="3300" priority="101">
      <formula>U$9&gt;=20/24</formula>
    </cfRule>
    <cfRule type="expression" dxfId="3299" priority="102">
      <formula>AND(U$9&gt;=14/24,U$9&lt;20/24)</formula>
    </cfRule>
    <cfRule type="expression" dxfId="3298" priority="103">
      <formula>AND(U$9&gt;=8/24,U$9&lt;14/24)</formula>
    </cfRule>
    <cfRule type="expression" dxfId="3297" priority="104">
      <formula>U$9&lt;8/24</formula>
    </cfRule>
  </conditionalFormatting>
  <conditionalFormatting sqref="AB55:AF60">
    <cfRule type="expression" dxfId="3296" priority="10">
      <formula>AB$9&gt;=20/24</formula>
    </cfRule>
    <cfRule type="expression" dxfId="3295" priority="11">
      <formula>AND(AB$9&gt;=14/24,AB$9&lt;20/24)</formula>
    </cfRule>
    <cfRule type="expression" dxfId="3294" priority="12">
      <formula>AND(AB$9&gt;=8/24,AB$9&lt;14/24)</formula>
    </cfRule>
    <cfRule type="expression" dxfId="3293" priority="13">
      <formula>AB$9&lt;8/24</formula>
    </cfRule>
  </conditionalFormatting>
  <conditionalFormatting sqref="T248">
    <cfRule type="expression" dxfId="3292" priority="126">
      <formula>AX$9&gt;=20/24</formula>
    </cfRule>
    <cfRule type="expression" dxfId="3291" priority="127">
      <formula>AND(AX$9&gt;=14/24,AX$9&lt;20/24)</formula>
    </cfRule>
    <cfRule type="expression" dxfId="3290" priority="128">
      <formula>AND(AX$9&gt;=8/24,AX$9&lt;14/24)</formula>
    </cfRule>
    <cfRule type="expression" dxfId="3289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288" priority="97">
      <formula>AD$9&gt;=20/24</formula>
    </cfRule>
    <cfRule type="expression" dxfId="3287" priority="98">
      <formula>AND(AD$9&gt;=14/24,AD$9&lt;20/24)</formula>
    </cfRule>
    <cfRule type="expression" dxfId="3286" priority="99">
      <formula>AND(AD$9&gt;=8/24,AD$9&lt;14/24)</formula>
    </cfRule>
    <cfRule type="expression" dxfId="3285" priority="100">
      <formula>AD$9&lt;8/24</formula>
    </cfRule>
  </conditionalFormatting>
  <conditionalFormatting sqref="AG50">
    <cfRule type="expression" dxfId="3284" priority="84">
      <formula>AG50&gt;$AG50</formula>
    </cfRule>
  </conditionalFormatting>
  <conditionalFormatting sqref="AG89">
    <cfRule type="expression" dxfId="3283" priority="85">
      <formula>AG$9&gt;=20/24</formula>
    </cfRule>
    <cfRule type="expression" dxfId="3282" priority="86">
      <formula>AND(AG$9&gt;=14/24,AG$9&lt;20/24)</formula>
    </cfRule>
    <cfRule type="expression" dxfId="3281" priority="87">
      <formula>AND(AG$9&gt;=8/24,AG$9&lt;14/24)</formula>
    </cfRule>
    <cfRule type="expression" dxfId="3280" priority="88">
      <formula>AG$9&lt;8/24</formula>
    </cfRule>
  </conditionalFormatting>
  <conditionalFormatting sqref="AG248">
    <cfRule type="expression" dxfId="3279" priority="118">
      <formula>B$9&gt;=20/24</formula>
    </cfRule>
    <cfRule type="expression" dxfId="3278" priority="119">
      <formula>AND(B$9&gt;=14/24,B$9&lt;20/24)</formula>
    </cfRule>
    <cfRule type="expression" dxfId="3277" priority="120">
      <formula>AND(B$9&gt;=8/24,B$9&lt;14/24)</formula>
    </cfRule>
    <cfRule type="expression" dxfId="3276" priority="121">
      <formula>B$9&lt;8/24</formula>
    </cfRule>
  </conditionalFormatting>
  <conditionalFormatting sqref="AH248:AX248">
    <cfRule type="expression" dxfId="3275" priority="122">
      <formula>AG$9&gt;=20/24</formula>
    </cfRule>
    <cfRule type="expression" dxfId="3274" priority="123">
      <formula>AND(AG$9&gt;=14/24,AG$9&lt;20/24)</formula>
    </cfRule>
    <cfRule type="expression" dxfId="3273" priority="124">
      <formula>AND(AG$9&gt;=8/24,AG$9&lt;14/24)</formula>
    </cfRule>
    <cfRule type="expression" dxfId="3272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271" priority="131">
      <formula>AJ$9&gt;=20/24</formula>
    </cfRule>
    <cfRule type="expression" dxfId="3270" priority="132">
      <formula>AND(AJ$9&gt;=14/24,AJ$9&lt;20/24)</formula>
    </cfRule>
    <cfRule type="expression" dxfId="3269" priority="133">
      <formula>AND(AJ$9&gt;=8/24,AJ$9&lt;14/24)</formula>
    </cfRule>
    <cfRule type="expression" dxfId="3268" priority="134">
      <formula>AJ$9&lt;8/24</formula>
    </cfRule>
  </conditionalFormatting>
  <conditionalFormatting sqref="AL80:AN80 AL86:AN86">
    <cfRule type="expression" dxfId="3267" priority="72">
      <formula>AL$9&gt;=20/24</formula>
    </cfRule>
    <cfRule type="expression" dxfId="3266" priority="73">
      <formula>AND(AL$9&gt;=14/24,AL$9&lt;20/24)</formula>
    </cfRule>
    <cfRule type="expression" dxfId="3265" priority="74">
      <formula>AND(AL$9&gt;=8/24,AL$9&lt;14/24)</formula>
    </cfRule>
    <cfRule type="expression" dxfId="3264" priority="75">
      <formula>AL$9&lt;8/24</formula>
    </cfRule>
  </conditionalFormatting>
  <conditionalFormatting sqref="AN81:AN84">
    <cfRule type="expression" dxfId="3263" priority="68">
      <formula>AN$9&gt;=20/24</formula>
    </cfRule>
    <cfRule type="expression" dxfId="3262" priority="69">
      <formula>AND(AN$9&gt;=14/24,AN$9&lt;20/24)</formula>
    </cfRule>
    <cfRule type="expression" dxfId="3261" priority="70">
      <formula>AND(AN$9&gt;=8/24,AN$9&lt;14/24)</formula>
    </cfRule>
    <cfRule type="expression" dxfId="3260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0AD25-599D-4A51-A473-917D549CFBC1}">
  <sheetPr codeName="Sheet28"/>
  <dimension ref="A1:CJ281"/>
  <sheetViews>
    <sheetView zoomScale="80" zoomScaleNormal="80" workbookViewId="0">
      <pane xSplit="1" ySplit="10" topLeftCell="B68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2" width="6" style="1" bestFit="1" customWidth="1"/>
    <col min="13" max="13" width="6.5703125" style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2080/05/6</v>
      </c>
      <c r="C4" s="201"/>
      <c r="D4" s="201"/>
      <c r="E4" s="202" t="str">
        <f ca="1">"2080/"&amp;"05/"&amp;INT(MID(CELL("filename",G6),FIND("]",CELL("filename",G6))+1,200))</f>
        <v>2080/05/6</v>
      </c>
      <c r="F4" s="202"/>
      <c r="G4" s="202"/>
      <c r="H4" s="202" t="str">
        <f ca="1">TEXT(E4,"dddd")</f>
        <v>Monday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2040MW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Load=1973</v>
      </c>
      <c r="B7" s="35">
        <f t="shared" ref="B7:AF7" si="1">B91</f>
        <v>2022.24</v>
      </c>
      <c r="C7" s="35">
        <f t="shared" si="1"/>
        <v>2051.14</v>
      </c>
      <c r="D7" s="35">
        <f t="shared" si="1"/>
        <v>2050.04</v>
      </c>
      <c r="E7" s="35">
        <f t="shared" si="1"/>
        <v>2031.8400000000001</v>
      </c>
      <c r="F7" s="35">
        <f t="shared" si="1"/>
        <v>2011.44</v>
      </c>
      <c r="G7" s="35">
        <f t="shared" si="1"/>
        <v>2014.8400000000001</v>
      </c>
      <c r="H7" s="35">
        <f t="shared" si="1"/>
        <v>2019.24</v>
      </c>
      <c r="I7" s="35">
        <f t="shared" si="1"/>
        <v>2035.04</v>
      </c>
      <c r="J7" s="35">
        <f t="shared" si="1"/>
        <v>2035.3400000000001</v>
      </c>
      <c r="K7" s="35">
        <f t="shared" si="1"/>
        <v>2034.94</v>
      </c>
      <c r="L7" s="35">
        <f t="shared" si="1"/>
        <v>2039.74</v>
      </c>
      <c r="M7" s="35">
        <f t="shared" si="1"/>
        <v>2039.74</v>
      </c>
      <c r="N7" s="35">
        <f>N91</f>
        <v>2011.84</v>
      </c>
      <c r="O7" s="35">
        <f t="shared" si="1"/>
        <v>2021.84</v>
      </c>
      <c r="P7" s="35">
        <f t="shared" si="1"/>
        <v>1973.24</v>
      </c>
      <c r="Q7" s="35">
        <f t="shared" si="1"/>
        <v>1973.24</v>
      </c>
      <c r="R7" s="35">
        <f t="shared" si="1"/>
        <v>1999.24</v>
      </c>
      <c r="S7" s="35">
        <f t="shared" si="1"/>
        <v>1979.1399999999999</v>
      </c>
      <c r="T7" s="35">
        <f t="shared" si="1"/>
        <v>1986.04</v>
      </c>
      <c r="U7" s="35">
        <f t="shared" si="1"/>
        <v>1986.04</v>
      </c>
      <c r="V7" s="35">
        <f t="shared" si="1"/>
        <v>1980.1399999999999</v>
      </c>
      <c r="W7" s="35">
        <f t="shared" si="1"/>
        <v>1987.54</v>
      </c>
      <c r="X7" s="35">
        <f t="shared" si="1"/>
        <v>1991.54</v>
      </c>
      <c r="Y7" s="35">
        <f t="shared" si="1"/>
        <v>2107.6400000000003</v>
      </c>
      <c r="Z7" s="35">
        <f t="shared" si="1"/>
        <v>2080.44</v>
      </c>
      <c r="AA7" s="35">
        <f t="shared" si="1"/>
        <v>2075.44</v>
      </c>
      <c r="AB7" s="35">
        <f t="shared" si="1"/>
        <v>2082.84</v>
      </c>
      <c r="AC7" s="35">
        <f t="shared" si="1"/>
        <v>2049.94</v>
      </c>
      <c r="AD7" s="35">
        <f t="shared" si="1"/>
        <v>2033.94</v>
      </c>
      <c r="AE7" s="35">
        <f t="shared" si="1"/>
        <v>2023.94</v>
      </c>
      <c r="AF7" s="35">
        <f t="shared" si="1"/>
        <v>2000.1399999999999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86</v>
      </c>
      <c r="C11" s="45">
        <v>86</v>
      </c>
      <c r="D11" s="45">
        <v>86</v>
      </c>
      <c r="E11" s="45">
        <v>85.8</v>
      </c>
      <c r="F11" s="45">
        <v>85.8</v>
      </c>
      <c r="G11" s="45">
        <v>85.8</v>
      </c>
      <c r="H11" s="45">
        <v>85.8</v>
      </c>
      <c r="I11" s="45">
        <v>85.8</v>
      </c>
      <c r="J11" s="45">
        <v>85.8</v>
      </c>
      <c r="K11" s="45">
        <v>85.8</v>
      </c>
      <c r="L11" s="45">
        <v>85.8</v>
      </c>
      <c r="M11" s="45">
        <v>85.8</v>
      </c>
      <c r="N11" s="45">
        <v>85.8</v>
      </c>
      <c r="O11" s="45">
        <v>85.8</v>
      </c>
      <c r="P11" s="45">
        <v>85.9</v>
      </c>
      <c r="Q11" s="45">
        <v>85.9</v>
      </c>
      <c r="R11" s="45">
        <v>85.9</v>
      </c>
      <c r="S11" s="45">
        <v>85.9</v>
      </c>
      <c r="T11" s="45">
        <v>85.9</v>
      </c>
      <c r="U11" s="45">
        <v>85.9</v>
      </c>
      <c r="V11" s="45">
        <v>85.9</v>
      </c>
      <c r="W11" s="45">
        <v>85.9</v>
      </c>
      <c r="X11" s="45">
        <v>85.9</v>
      </c>
      <c r="Y11" s="45">
        <v>85.9</v>
      </c>
      <c r="Z11" s="45">
        <v>85.9</v>
      </c>
      <c r="AA11" s="45">
        <v>85.9</v>
      </c>
      <c r="AB11" s="45">
        <v>85.9</v>
      </c>
      <c r="AC11" s="45">
        <v>85.9</v>
      </c>
      <c r="AD11" s="45">
        <v>85.9</v>
      </c>
      <c r="AE11" s="45">
        <v>85.9</v>
      </c>
      <c r="AF11" s="45">
        <v>85.9</v>
      </c>
      <c r="AG11" s="46">
        <v>86</v>
      </c>
      <c r="AH11" s="47">
        <f t="shared" ref="AH11:AH76" si="2">MAX(B11:AF11)</f>
        <v>86</v>
      </c>
      <c r="AI11" s="48">
        <f t="shared" ref="AI11:AI76" si="3">MIN(B11:AF11)</f>
        <v>85.8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8</v>
      </c>
      <c r="D12" s="45">
        <v>8</v>
      </c>
      <c r="E12" s="45">
        <v>8</v>
      </c>
      <c r="F12" s="45">
        <v>0</v>
      </c>
      <c r="G12" s="45">
        <v>0</v>
      </c>
      <c r="H12" s="45">
        <v>0</v>
      </c>
      <c r="I12" s="45">
        <v>8</v>
      </c>
      <c r="J12" s="45">
        <v>8</v>
      </c>
      <c r="K12" s="45">
        <v>8</v>
      </c>
      <c r="L12" s="45">
        <v>13</v>
      </c>
      <c r="M12" s="45">
        <v>13</v>
      </c>
      <c r="N12" s="45">
        <v>13</v>
      </c>
      <c r="O12" s="45">
        <v>13</v>
      </c>
      <c r="P12" s="45">
        <v>0</v>
      </c>
      <c r="Q12" s="45">
        <v>0</v>
      </c>
      <c r="R12" s="45">
        <v>13</v>
      </c>
      <c r="S12" s="45">
        <v>13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13</v>
      </c>
      <c r="Z12" s="45">
        <v>0</v>
      </c>
      <c r="AA12" s="45">
        <v>8</v>
      </c>
      <c r="AB12" s="45">
        <v>8</v>
      </c>
      <c r="AC12" s="45">
        <v>8</v>
      </c>
      <c r="AD12" s="45">
        <v>0</v>
      </c>
      <c r="AE12" s="45">
        <v>0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54.4</v>
      </c>
      <c r="D13" s="45">
        <v>54.3</v>
      </c>
      <c r="E13" s="45">
        <v>54.5</v>
      </c>
      <c r="F13" s="45">
        <v>54.5</v>
      </c>
      <c r="G13" s="45">
        <v>54.5</v>
      </c>
      <c r="H13" s="45">
        <v>54.5</v>
      </c>
      <c r="I13" s="45">
        <v>54.5</v>
      </c>
      <c r="J13" s="45">
        <v>54.5</v>
      </c>
      <c r="K13" s="45">
        <v>54.5</v>
      </c>
      <c r="L13" s="45">
        <v>54.5</v>
      </c>
      <c r="M13" s="45">
        <v>54.5</v>
      </c>
      <c r="N13" s="45">
        <v>54.5</v>
      </c>
      <c r="O13" s="45">
        <v>54.5</v>
      </c>
      <c r="P13" s="45">
        <v>52.7</v>
      </c>
      <c r="Q13" s="45">
        <v>52.7</v>
      </c>
      <c r="R13" s="45">
        <v>52.7</v>
      </c>
      <c r="S13" s="45">
        <v>52.7</v>
      </c>
      <c r="T13" s="45">
        <v>52.7</v>
      </c>
      <c r="U13" s="45">
        <v>52.7</v>
      </c>
      <c r="V13" s="45">
        <v>52.7</v>
      </c>
      <c r="W13" s="45">
        <v>52.7</v>
      </c>
      <c r="X13" s="45">
        <v>52.7</v>
      </c>
      <c r="Y13" s="45">
        <v>52.7</v>
      </c>
      <c r="Z13" s="45">
        <v>54.1</v>
      </c>
      <c r="AA13" s="45">
        <v>54.1</v>
      </c>
      <c r="AB13" s="45">
        <v>54.1</v>
      </c>
      <c r="AC13" s="45">
        <v>54.1</v>
      </c>
      <c r="AD13" s="45">
        <v>54.1</v>
      </c>
      <c r="AE13" s="45">
        <v>53.1</v>
      </c>
      <c r="AF13" s="45">
        <v>53.1</v>
      </c>
      <c r="AG13" s="46">
        <v>52.4</v>
      </c>
      <c r="AH13" s="47">
        <f t="shared" si="2"/>
        <v>54.5</v>
      </c>
      <c r="AI13" s="48">
        <f t="shared" si="3"/>
        <v>52.7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50.3</v>
      </c>
      <c r="C14" s="45">
        <v>50.3</v>
      </c>
      <c r="D14" s="45">
        <v>50.3</v>
      </c>
      <c r="E14" s="58">
        <v>50.2</v>
      </c>
      <c r="F14" s="58">
        <v>50.2</v>
      </c>
      <c r="G14" s="58">
        <v>50.2</v>
      </c>
      <c r="H14" s="58">
        <v>50.2</v>
      </c>
      <c r="I14" s="58">
        <v>50.2</v>
      </c>
      <c r="J14" s="58">
        <v>50.2</v>
      </c>
      <c r="K14" s="58">
        <v>50.2</v>
      </c>
      <c r="L14" s="58">
        <v>50.2</v>
      </c>
      <c r="M14" s="58">
        <v>50.2</v>
      </c>
      <c r="N14" s="58">
        <v>50.2</v>
      </c>
      <c r="O14" s="58">
        <v>50.2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50.4</v>
      </c>
      <c r="AI14" s="48">
        <f t="shared" si="3"/>
        <v>50.2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46.5</v>
      </c>
      <c r="C15" s="45">
        <v>41.6</v>
      </c>
      <c r="D15" s="45">
        <v>41.6</v>
      </c>
      <c r="E15" s="45">
        <v>37.5</v>
      </c>
      <c r="F15" s="45">
        <v>37.5</v>
      </c>
      <c r="G15" s="45">
        <v>37.5</v>
      </c>
      <c r="H15" s="45">
        <v>37.5</v>
      </c>
      <c r="I15" s="45">
        <v>37.5</v>
      </c>
      <c r="J15" s="45">
        <v>37.5</v>
      </c>
      <c r="K15" s="45">
        <v>37.5</v>
      </c>
      <c r="L15" s="45">
        <v>37.5</v>
      </c>
      <c r="M15" s="45">
        <v>37.5</v>
      </c>
      <c r="N15" s="45">
        <v>37.5</v>
      </c>
      <c r="O15" s="45">
        <v>37.5</v>
      </c>
      <c r="P15" s="45">
        <v>37</v>
      </c>
      <c r="Q15" s="45">
        <v>37</v>
      </c>
      <c r="R15" s="45">
        <v>37</v>
      </c>
      <c r="S15" s="45">
        <v>37</v>
      </c>
      <c r="T15" s="45">
        <v>37</v>
      </c>
      <c r="U15" s="45">
        <v>37</v>
      </c>
      <c r="V15" s="45">
        <v>37</v>
      </c>
      <c r="W15" s="45">
        <v>37</v>
      </c>
      <c r="X15" s="45">
        <v>37</v>
      </c>
      <c r="Y15" s="45">
        <v>46.6</v>
      </c>
      <c r="Z15" s="45">
        <v>46.6</v>
      </c>
      <c r="AA15" s="45">
        <v>46.6</v>
      </c>
      <c r="AB15" s="45">
        <v>46.6</v>
      </c>
      <c r="AC15" s="45">
        <v>46.6</v>
      </c>
      <c r="AD15" s="45">
        <v>46.6</v>
      </c>
      <c r="AE15" s="45">
        <v>46.6</v>
      </c>
      <c r="AF15" s="45">
        <v>46.6</v>
      </c>
      <c r="AG15" s="49">
        <v>45</v>
      </c>
      <c r="AH15" s="47">
        <f t="shared" si="2"/>
        <v>46.6</v>
      </c>
      <c r="AI15" s="48">
        <f t="shared" si="3"/>
        <v>37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31</v>
      </c>
      <c r="F17" s="45">
        <v>31</v>
      </c>
      <c r="G17" s="45">
        <v>31</v>
      </c>
      <c r="H17" s="45">
        <v>31</v>
      </c>
      <c r="I17" s="45">
        <v>31</v>
      </c>
      <c r="J17" s="45">
        <v>31</v>
      </c>
      <c r="K17" s="45">
        <v>31</v>
      </c>
      <c r="L17" s="45">
        <v>31</v>
      </c>
      <c r="M17" s="45">
        <v>31</v>
      </c>
      <c r="N17" s="45">
        <v>29</v>
      </c>
      <c r="O17" s="45">
        <v>29</v>
      </c>
      <c r="P17" s="45">
        <v>29</v>
      </c>
      <c r="Q17" s="45">
        <v>29</v>
      </c>
      <c r="R17" s="45">
        <v>29</v>
      </c>
      <c r="S17" s="45">
        <v>29</v>
      </c>
      <c r="T17" s="45">
        <v>28.5</v>
      </c>
      <c r="U17" s="45">
        <v>28.5</v>
      </c>
      <c r="V17" s="45">
        <v>28.5</v>
      </c>
      <c r="W17" s="45">
        <v>28.5</v>
      </c>
      <c r="X17" s="45">
        <v>28.5</v>
      </c>
      <c r="Y17" s="45">
        <v>28.5</v>
      </c>
      <c r="Z17" s="45">
        <v>28.5</v>
      </c>
      <c r="AA17" s="45">
        <v>28.5</v>
      </c>
      <c r="AB17" s="45">
        <v>28.5</v>
      </c>
      <c r="AC17" s="45">
        <v>28.5</v>
      </c>
      <c r="AD17" s="45">
        <v>28.5</v>
      </c>
      <c r="AE17" s="45">
        <v>28.5</v>
      </c>
      <c r="AF17" s="45">
        <v>28.5</v>
      </c>
      <c r="AG17" s="49">
        <v>42</v>
      </c>
      <c r="AH17" s="47">
        <f t="shared" si="2"/>
        <v>31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12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12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5.8</v>
      </c>
      <c r="D20" s="45">
        <v>5.8</v>
      </c>
      <c r="E20" s="45">
        <v>5.8</v>
      </c>
      <c r="F20" s="45">
        <v>0</v>
      </c>
      <c r="G20" s="45">
        <v>0</v>
      </c>
      <c r="H20" s="45">
        <v>0</v>
      </c>
      <c r="I20" s="45">
        <v>5</v>
      </c>
      <c r="J20" s="45">
        <v>5</v>
      </c>
      <c r="K20" s="45">
        <v>5</v>
      </c>
      <c r="L20" s="45">
        <v>5</v>
      </c>
      <c r="M20" s="45">
        <v>5</v>
      </c>
      <c r="N20" s="45">
        <v>0</v>
      </c>
      <c r="O20" s="45">
        <v>0</v>
      </c>
      <c r="P20" s="45">
        <v>0</v>
      </c>
      <c r="Q20" s="45">
        <v>0</v>
      </c>
      <c r="R20" s="45">
        <v>5</v>
      </c>
      <c r="S20" s="45">
        <v>5</v>
      </c>
      <c r="T20" s="45">
        <v>0</v>
      </c>
      <c r="U20" s="45">
        <v>0</v>
      </c>
      <c r="V20" s="45">
        <v>0</v>
      </c>
      <c r="W20" s="45">
        <v>0</v>
      </c>
      <c r="X20" s="45">
        <v>0</v>
      </c>
      <c r="Y20" s="45">
        <v>29</v>
      </c>
      <c r="Z20" s="45">
        <v>20</v>
      </c>
      <c r="AA20" s="45">
        <v>21</v>
      </c>
      <c r="AB20" s="45">
        <v>21</v>
      </c>
      <c r="AC20" s="45">
        <v>5</v>
      </c>
      <c r="AD20" s="45">
        <v>5</v>
      </c>
      <c r="AE20" s="45">
        <v>0</v>
      </c>
      <c r="AF20" s="45">
        <v>0</v>
      </c>
      <c r="AG20" s="51">
        <v>30</v>
      </c>
      <c r="AH20" s="47">
        <f t="shared" si="2"/>
        <v>29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30</v>
      </c>
      <c r="C21" s="45">
        <v>21.8</v>
      </c>
      <c r="D21" s="45">
        <v>21.8</v>
      </c>
      <c r="E21" s="45">
        <v>21.8</v>
      </c>
      <c r="F21" s="45">
        <v>21.8</v>
      </c>
      <c r="G21" s="45">
        <v>21.8</v>
      </c>
      <c r="H21" s="45">
        <v>21.8</v>
      </c>
      <c r="I21" s="45">
        <v>21.8</v>
      </c>
      <c r="J21" s="45">
        <v>21.8</v>
      </c>
      <c r="K21" s="45">
        <v>21.8</v>
      </c>
      <c r="L21" s="45">
        <v>21.8</v>
      </c>
      <c r="M21" s="45">
        <v>21.8</v>
      </c>
      <c r="N21" s="45">
        <v>24.9</v>
      </c>
      <c r="O21" s="45">
        <v>24.9</v>
      </c>
      <c r="P21" s="45">
        <v>24.9</v>
      </c>
      <c r="Q21" s="45">
        <v>24.9</v>
      </c>
      <c r="R21" s="45">
        <v>24.9</v>
      </c>
      <c r="S21" s="45">
        <v>24.9</v>
      </c>
      <c r="T21" s="45">
        <v>26</v>
      </c>
      <c r="U21" s="45">
        <v>26</v>
      </c>
      <c r="V21" s="45">
        <v>26</v>
      </c>
      <c r="W21" s="45">
        <v>26</v>
      </c>
      <c r="X21" s="45">
        <v>26</v>
      </c>
      <c r="Y21" s="45">
        <v>25.8</v>
      </c>
      <c r="Z21" s="45">
        <v>25.8</v>
      </c>
      <c r="AA21" s="45">
        <v>25.8</v>
      </c>
      <c r="AB21" s="45">
        <v>25.8</v>
      </c>
      <c r="AC21" s="45">
        <v>25.8</v>
      </c>
      <c r="AD21" s="45">
        <v>25.8</v>
      </c>
      <c r="AE21" s="45">
        <v>25.8</v>
      </c>
      <c r="AF21" s="45">
        <v>20</v>
      </c>
      <c r="AG21" s="49">
        <v>24.2</v>
      </c>
      <c r="AH21" s="47">
        <f t="shared" si="2"/>
        <v>30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>
        <v>28</v>
      </c>
      <c r="D22" s="45">
        <v>28</v>
      </c>
      <c r="E22" s="45">
        <v>28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>
        <v>28</v>
      </c>
      <c r="AE22" s="45">
        <v>28</v>
      </c>
      <c r="AF22" s="45">
        <v>20</v>
      </c>
      <c r="AG22" s="49">
        <v>28</v>
      </c>
      <c r="AH22" s="47">
        <f t="shared" si="2"/>
        <v>28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4</v>
      </c>
      <c r="D23" s="45">
        <v>4</v>
      </c>
      <c r="E23" s="45">
        <v>4</v>
      </c>
      <c r="F23" s="45">
        <v>0</v>
      </c>
      <c r="G23" s="45">
        <v>0</v>
      </c>
      <c r="H23" s="45">
        <v>0</v>
      </c>
      <c r="I23" s="45">
        <v>4</v>
      </c>
      <c r="J23" s="45">
        <v>4</v>
      </c>
      <c r="K23" s="45">
        <v>4</v>
      </c>
      <c r="L23" s="45">
        <v>4</v>
      </c>
      <c r="M23" s="45">
        <v>4</v>
      </c>
      <c r="N23" s="45">
        <v>0</v>
      </c>
      <c r="O23" s="45">
        <v>0</v>
      </c>
      <c r="P23" s="45">
        <v>0</v>
      </c>
      <c r="Q23" s="45">
        <v>0</v>
      </c>
      <c r="R23" s="45">
        <v>3</v>
      </c>
      <c r="S23" s="45">
        <v>3</v>
      </c>
      <c r="T23" s="45">
        <v>0</v>
      </c>
      <c r="U23" s="45">
        <v>0</v>
      </c>
      <c r="V23" s="45">
        <v>0</v>
      </c>
      <c r="W23" s="45">
        <v>0</v>
      </c>
      <c r="X23" s="45">
        <v>0</v>
      </c>
      <c r="Y23" s="45">
        <v>18</v>
      </c>
      <c r="Z23" s="45">
        <v>20</v>
      </c>
      <c r="AA23" s="45">
        <v>14</v>
      </c>
      <c r="AB23" s="45">
        <v>14</v>
      </c>
      <c r="AC23" s="45">
        <v>0</v>
      </c>
      <c r="AD23" s="45">
        <v>0</v>
      </c>
      <c r="AE23" s="45">
        <v>0</v>
      </c>
      <c r="AF23" s="45">
        <v>0</v>
      </c>
      <c r="AG23" s="51">
        <v>30</v>
      </c>
      <c r="AH23" s="47">
        <f t="shared" si="2"/>
        <v>20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24.5</v>
      </c>
      <c r="AG24" s="49">
        <v>25</v>
      </c>
      <c r="AH24" s="47">
        <f t="shared" si="2"/>
        <v>24.5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20</v>
      </c>
      <c r="F26" s="45">
        <v>20</v>
      </c>
      <c r="G26" s="45">
        <v>20</v>
      </c>
      <c r="H26" s="45">
        <v>20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5</v>
      </c>
      <c r="D27" s="45">
        <v>5</v>
      </c>
      <c r="E27" s="45">
        <v>5</v>
      </c>
      <c r="F27" s="45">
        <v>0</v>
      </c>
      <c r="G27" s="45">
        <v>0</v>
      </c>
      <c r="H27" s="45">
        <v>0</v>
      </c>
      <c r="I27" s="45">
        <v>5</v>
      </c>
      <c r="J27" s="45">
        <v>5</v>
      </c>
      <c r="K27" s="45">
        <v>5</v>
      </c>
      <c r="L27" s="45">
        <v>5</v>
      </c>
      <c r="M27" s="45">
        <v>5</v>
      </c>
      <c r="N27" s="45">
        <v>0</v>
      </c>
      <c r="O27" s="45">
        <v>0</v>
      </c>
      <c r="P27" s="45">
        <v>0</v>
      </c>
      <c r="Q27" s="45">
        <v>0</v>
      </c>
      <c r="R27" s="45">
        <v>5</v>
      </c>
      <c r="S27" s="45">
        <v>5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15</v>
      </c>
      <c r="Z27" s="45">
        <v>20</v>
      </c>
      <c r="AA27" s="45">
        <v>12</v>
      </c>
      <c r="AB27" s="45">
        <v>12</v>
      </c>
      <c r="AC27" s="45">
        <v>0</v>
      </c>
      <c r="AD27" s="45">
        <v>0</v>
      </c>
      <c r="AE27" s="45">
        <v>0</v>
      </c>
      <c r="AF27" s="45">
        <v>0</v>
      </c>
      <c r="AG27" s="49">
        <v>25</v>
      </c>
      <c r="AH27" s="47">
        <f t="shared" si="2"/>
        <v>20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24.9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7</v>
      </c>
      <c r="K33" s="45">
        <v>7</v>
      </c>
      <c r="L33" s="45">
        <v>7</v>
      </c>
      <c r="M33" s="45">
        <v>7</v>
      </c>
      <c r="N33" s="45">
        <v>0</v>
      </c>
      <c r="O33" s="45">
        <v>0</v>
      </c>
      <c r="P33" s="45">
        <v>0</v>
      </c>
      <c r="Q33" s="45">
        <v>0</v>
      </c>
      <c r="R33" s="45">
        <v>0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5</v>
      </c>
      <c r="Z33" s="45">
        <v>5</v>
      </c>
      <c r="AA33" s="45">
        <v>5</v>
      </c>
      <c r="AB33" s="45">
        <v>5</v>
      </c>
      <c r="AC33" s="45">
        <v>5</v>
      </c>
      <c r="AD33" s="45">
        <v>4</v>
      </c>
      <c r="AE33" s="45">
        <v>4</v>
      </c>
      <c r="AF33" s="45">
        <v>4</v>
      </c>
      <c r="AG33" s="49">
        <v>20</v>
      </c>
      <c r="AH33" s="47">
        <f t="shared" si="2"/>
        <v>7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5</v>
      </c>
      <c r="K34" s="45">
        <v>5</v>
      </c>
      <c r="L34" s="45">
        <v>5</v>
      </c>
      <c r="M34" s="45">
        <v>5</v>
      </c>
      <c r="N34" s="45">
        <v>0</v>
      </c>
      <c r="O34" s="45">
        <v>0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5</v>
      </c>
      <c r="Z34" s="45">
        <v>5</v>
      </c>
      <c r="AA34" s="45">
        <v>5</v>
      </c>
      <c r="AB34" s="45">
        <v>5</v>
      </c>
      <c r="AC34" s="45">
        <v>5</v>
      </c>
      <c r="AD34" s="45">
        <v>3.5</v>
      </c>
      <c r="AE34" s="45">
        <v>3.5</v>
      </c>
      <c r="AF34" s="45">
        <v>3.5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3</v>
      </c>
      <c r="D39" s="45">
        <v>3</v>
      </c>
      <c r="E39" s="45">
        <v>3</v>
      </c>
      <c r="F39" s="45">
        <v>0</v>
      </c>
      <c r="G39" s="45">
        <v>0</v>
      </c>
      <c r="H39" s="45">
        <v>0</v>
      </c>
      <c r="I39" s="45">
        <v>3</v>
      </c>
      <c r="J39" s="45">
        <v>3</v>
      </c>
      <c r="K39" s="45">
        <v>3</v>
      </c>
      <c r="L39" s="45">
        <v>3</v>
      </c>
      <c r="M39" s="45">
        <v>3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5</v>
      </c>
      <c r="Z39" s="45">
        <v>8</v>
      </c>
      <c r="AA39" s="45">
        <v>8</v>
      </c>
      <c r="AB39" s="45">
        <v>8</v>
      </c>
      <c r="AC39" s="45">
        <v>2</v>
      </c>
      <c r="AD39" s="45">
        <v>0</v>
      </c>
      <c r="AE39" s="45">
        <v>0</v>
      </c>
      <c r="AF39" s="45">
        <v>0</v>
      </c>
      <c r="AG39" s="49">
        <v>12</v>
      </c>
      <c r="AH39" s="47">
        <f t="shared" si="2"/>
        <v>8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f>91.5+36.2</f>
        <v>127.7</v>
      </c>
      <c r="C49" s="56">
        <f>91.7+36.8</f>
        <v>128.5</v>
      </c>
      <c r="D49" s="56">
        <f>91.9+36.4</f>
        <v>128.30000000000001</v>
      </c>
      <c r="E49" s="58">
        <f>92.5+37</f>
        <v>129.5</v>
      </c>
      <c r="F49" s="58">
        <f>92.1+37</f>
        <v>129.1</v>
      </c>
      <c r="G49" s="58">
        <f>92.5+37</f>
        <v>129.5</v>
      </c>
      <c r="H49" s="58">
        <f>91.8+36.9</f>
        <v>128.69999999999999</v>
      </c>
      <c r="I49" s="58">
        <f>91.7+36.8</f>
        <v>128.5</v>
      </c>
      <c r="J49" s="58">
        <f>91.9+36.8</f>
        <v>128.69999999999999</v>
      </c>
      <c r="K49" s="58">
        <f>91.4+36.7</f>
        <v>128.10000000000002</v>
      </c>
      <c r="L49" s="58">
        <f t="shared" ref="L49:X49" si="4">91.2+36.6</f>
        <v>127.80000000000001</v>
      </c>
      <c r="M49" s="58">
        <f t="shared" si="4"/>
        <v>127.80000000000001</v>
      </c>
      <c r="N49" s="58">
        <f t="shared" si="4"/>
        <v>127.80000000000001</v>
      </c>
      <c r="O49" s="58">
        <f t="shared" si="4"/>
        <v>127.80000000000001</v>
      </c>
      <c r="P49" s="58">
        <f t="shared" si="4"/>
        <v>127.80000000000001</v>
      </c>
      <c r="Q49" s="58">
        <f t="shared" si="4"/>
        <v>127.80000000000001</v>
      </c>
      <c r="R49" s="58">
        <f t="shared" si="4"/>
        <v>127.80000000000001</v>
      </c>
      <c r="S49" s="58">
        <f t="shared" si="4"/>
        <v>127.80000000000001</v>
      </c>
      <c r="T49" s="58">
        <f t="shared" si="4"/>
        <v>127.80000000000001</v>
      </c>
      <c r="U49" s="58">
        <f t="shared" si="4"/>
        <v>127.80000000000001</v>
      </c>
      <c r="V49" s="58">
        <f t="shared" si="4"/>
        <v>127.80000000000001</v>
      </c>
      <c r="W49" s="58">
        <f t="shared" si="4"/>
        <v>127.80000000000001</v>
      </c>
      <c r="X49" s="58">
        <f t="shared" si="4"/>
        <v>127.80000000000001</v>
      </c>
      <c r="Y49" s="56">
        <f>36.8+93</f>
        <v>129.80000000000001</v>
      </c>
      <c r="Z49" s="56">
        <f>36.8+93</f>
        <v>129.80000000000001</v>
      </c>
      <c r="AA49" s="56">
        <f>36.8+93</f>
        <v>129.80000000000001</v>
      </c>
      <c r="AB49" s="56">
        <f>37.2+94.4</f>
        <v>131.60000000000002</v>
      </c>
      <c r="AC49" s="56">
        <v>133</v>
      </c>
      <c r="AD49" s="56">
        <v>133</v>
      </c>
      <c r="AE49" s="56">
        <v>133</v>
      </c>
      <c r="AF49" s="56">
        <v>133</v>
      </c>
      <c r="AG49" s="54">
        <v>240</v>
      </c>
      <c r="AH49" s="47">
        <f t="shared" si="2"/>
        <v>133</v>
      </c>
      <c r="AI49" s="48">
        <f t="shared" si="3"/>
        <v>127.7</v>
      </c>
      <c r="AK49" s="50"/>
    </row>
    <row r="50" spans="1:41" ht="15.75" thickBot="1" x14ac:dyDescent="0.3">
      <c r="A50" s="59" t="s">
        <v>58</v>
      </c>
      <c r="B50" s="60">
        <f>SUM(B11:B48)</f>
        <v>1063.8</v>
      </c>
      <c r="C50" s="60">
        <f>SUM(C11:C48)</f>
        <v>1088.5</v>
      </c>
      <c r="D50" s="60">
        <f>SUM(D11:D48)</f>
        <v>1088.4000000000001</v>
      </c>
      <c r="E50" s="60">
        <f t="shared" ref="E50:AF50" si="5">SUM(E11:E48)</f>
        <v>1082.2</v>
      </c>
      <c r="F50" s="60">
        <f t="shared" si="5"/>
        <v>1056.4000000000001</v>
      </c>
      <c r="G50" s="60">
        <f t="shared" si="5"/>
        <v>1056.4000000000001</v>
      </c>
      <c r="H50" s="60">
        <f t="shared" si="5"/>
        <v>1056.4000000000001</v>
      </c>
      <c r="I50" s="60">
        <f t="shared" si="5"/>
        <v>1086.4000000000001</v>
      </c>
      <c r="J50" s="60">
        <f t="shared" si="5"/>
        <v>1098.4000000000001</v>
      </c>
      <c r="K50" s="60">
        <f t="shared" si="5"/>
        <v>1098.4000000000001</v>
      </c>
      <c r="L50" s="60">
        <f t="shared" si="5"/>
        <v>1103.4000000000001</v>
      </c>
      <c r="M50" s="60">
        <f t="shared" si="5"/>
        <v>1103.4000000000001</v>
      </c>
      <c r="N50" s="60">
        <f t="shared" si="5"/>
        <v>1075.5</v>
      </c>
      <c r="O50" s="60">
        <f>SUM(O11:O48)</f>
        <v>1075.5</v>
      </c>
      <c r="P50" s="60">
        <f t="shared" si="5"/>
        <v>1060.5</v>
      </c>
      <c r="Q50" s="60">
        <f t="shared" si="5"/>
        <v>1060.5</v>
      </c>
      <c r="R50" s="60">
        <f t="shared" si="5"/>
        <v>1086.5</v>
      </c>
      <c r="S50" s="60">
        <f t="shared" si="5"/>
        <v>1086.5</v>
      </c>
      <c r="T50" s="60">
        <f>SUM(T11:T48)</f>
        <v>1061.0999999999999</v>
      </c>
      <c r="U50" s="60">
        <f>SUM(U11:U48)</f>
        <v>1061.0999999999999</v>
      </c>
      <c r="V50" s="60">
        <f t="shared" si="5"/>
        <v>1061.0999999999999</v>
      </c>
      <c r="W50" s="60">
        <f t="shared" si="5"/>
        <v>1061.0999999999999</v>
      </c>
      <c r="X50" s="60">
        <f t="shared" si="5"/>
        <v>1061.0999999999999</v>
      </c>
      <c r="Y50" s="60">
        <f t="shared" si="5"/>
        <v>1160.5</v>
      </c>
      <c r="Z50" s="60">
        <f t="shared" si="5"/>
        <v>1149.9000000000001</v>
      </c>
      <c r="AA50" s="60">
        <f t="shared" si="5"/>
        <v>1144.9000000000001</v>
      </c>
      <c r="AB50" s="60">
        <f t="shared" si="5"/>
        <v>1144.9000000000001</v>
      </c>
      <c r="AC50" s="60">
        <f t="shared" si="5"/>
        <v>1096.9000000000001</v>
      </c>
      <c r="AD50" s="60">
        <f t="shared" si="5"/>
        <v>1084.4000000000001</v>
      </c>
      <c r="AE50" s="60">
        <f t="shared" si="5"/>
        <v>1078.4000000000001</v>
      </c>
      <c r="AF50" s="60">
        <f t="shared" si="5"/>
        <v>1064.5999999999999</v>
      </c>
      <c r="AG50" s="61">
        <f>SUM(AG13:AG48)</f>
        <v>922.14</v>
      </c>
      <c r="AH50" s="47">
        <f t="shared" si="2"/>
        <v>1160.5</v>
      </c>
      <c r="AI50" s="48">
        <f t="shared" si="3"/>
        <v>1056.4000000000001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50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>SUM(B51:B53)</f>
        <v>538</v>
      </c>
      <c r="C54" s="60">
        <f>SUM(C51:C53)</f>
        <v>538</v>
      </c>
      <c r="D54" s="60">
        <f>SUM(D51:D53)</f>
        <v>538</v>
      </c>
      <c r="E54" s="60">
        <f t="shared" ref="E54:AG54" si="6">SUM(E51:E53)</f>
        <v>538</v>
      </c>
      <c r="F54" s="60">
        <f t="shared" si="6"/>
        <v>538</v>
      </c>
      <c r="G54" s="60">
        <f t="shared" si="6"/>
        <v>538</v>
      </c>
      <c r="H54" s="60">
        <f t="shared" si="6"/>
        <v>538</v>
      </c>
      <c r="I54" s="60">
        <f t="shared" si="6"/>
        <v>538</v>
      </c>
      <c r="J54" s="60">
        <f t="shared" si="6"/>
        <v>538</v>
      </c>
      <c r="K54" s="60">
        <f t="shared" si="6"/>
        <v>538</v>
      </c>
      <c r="L54" s="60">
        <f t="shared" si="6"/>
        <v>538</v>
      </c>
      <c r="M54" s="60">
        <f t="shared" si="6"/>
        <v>538</v>
      </c>
      <c r="N54" s="60">
        <f t="shared" si="6"/>
        <v>538</v>
      </c>
      <c r="O54" s="60">
        <f>SUM(O51:O53)</f>
        <v>538</v>
      </c>
      <c r="P54" s="60">
        <f t="shared" si="6"/>
        <v>538</v>
      </c>
      <c r="Q54" s="60">
        <f t="shared" si="6"/>
        <v>538</v>
      </c>
      <c r="R54" s="60">
        <f t="shared" si="6"/>
        <v>538</v>
      </c>
      <c r="S54" s="60">
        <f t="shared" si="6"/>
        <v>538</v>
      </c>
      <c r="T54" s="60">
        <f>SUM(T51:T53)</f>
        <v>538</v>
      </c>
      <c r="U54" s="60">
        <f>SUM(U51:U53)</f>
        <v>538</v>
      </c>
      <c r="V54" s="60">
        <f t="shared" si="6"/>
        <v>538</v>
      </c>
      <c r="W54" s="60">
        <f t="shared" si="6"/>
        <v>538</v>
      </c>
      <c r="X54" s="60">
        <f t="shared" si="6"/>
        <v>538</v>
      </c>
      <c r="Y54" s="60">
        <f t="shared" si="6"/>
        <v>538.4</v>
      </c>
      <c r="Z54" s="60">
        <f t="shared" si="6"/>
        <v>538.4</v>
      </c>
      <c r="AA54" s="60">
        <f t="shared" si="6"/>
        <v>538.4</v>
      </c>
      <c r="AB54" s="60">
        <f t="shared" si="6"/>
        <v>538.4</v>
      </c>
      <c r="AC54" s="60">
        <f t="shared" si="6"/>
        <v>538.4</v>
      </c>
      <c r="AD54" s="60">
        <f t="shared" si="6"/>
        <v>538.4</v>
      </c>
      <c r="AE54" s="60">
        <f t="shared" si="6"/>
        <v>538.4</v>
      </c>
      <c r="AF54" s="60">
        <f t="shared" si="6"/>
        <v>528.4</v>
      </c>
      <c r="AG54" s="61">
        <f t="shared" si="6"/>
        <v>538.1</v>
      </c>
      <c r="AH54" s="47">
        <f t="shared" si="2"/>
        <v>538.4</v>
      </c>
      <c r="AI54" s="48">
        <f t="shared" si="3"/>
        <v>528.4</v>
      </c>
      <c r="AK54" s="50"/>
    </row>
    <row r="55" spans="1:41" x14ac:dyDescent="0.25">
      <c r="A55" s="44" t="s">
        <v>63</v>
      </c>
      <c r="B55" s="45">
        <v>143</v>
      </c>
      <c r="C55" s="45">
        <v>143.1</v>
      </c>
      <c r="D55" s="45">
        <v>143.4</v>
      </c>
      <c r="E55" s="45">
        <v>142.4</v>
      </c>
      <c r="F55" s="45">
        <v>142</v>
      </c>
      <c r="G55" s="45">
        <v>142</v>
      </c>
      <c r="H55" s="45">
        <v>142</v>
      </c>
      <c r="I55" s="45">
        <v>141.6</v>
      </c>
      <c r="J55" s="45">
        <v>141.5</v>
      </c>
      <c r="K55" s="45">
        <v>141.5</v>
      </c>
      <c r="L55" s="45">
        <v>141.6</v>
      </c>
      <c r="M55" s="45">
        <v>141.6</v>
      </c>
      <c r="N55" s="45">
        <v>141.6</v>
      </c>
      <c r="O55" s="45">
        <v>141.6</v>
      </c>
      <c r="P55" s="45">
        <v>142.30000000000001</v>
      </c>
      <c r="Q55" s="45">
        <v>142.30000000000001</v>
      </c>
      <c r="R55" s="45">
        <v>142.30000000000001</v>
      </c>
      <c r="S55" s="45">
        <v>142.30000000000001</v>
      </c>
      <c r="T55" s="45">
        <v>142.30000000000001</v>
      </c>
      <c r="U55" s="45">
        <v>142.30000000000001</v>
      </c>
      <c r="V55" s="45">
        <v>142.30000000000001</v>
      </c>
      <c r="W55" s="45">
        <v>142.30000000000001</v>
      </c>
      <c r="X55" s="45">
        <v>142.30000000000001</v>
      </c>
      <c r="Y55" s="45">
        <v>143.4</v>
      </c>
      <c r="Z55" s="45">
        <v>143.4</v>
      </c>
      <c r="AA55" s="45">
        <v>143.4</v>
      </c>
      <c r="AB55" s="45">
        <v>143.9</v>
      </c>
      <c r="AC55" s="45">
        <v>143.9</v>
      </c>
      <c r="AD55" s="45">
        <v>143.9</v>
      </c>
      <c r="AE55" s="45">
        <v>143.9</v>
      </c>
      <c r="AF55" s="45">
        <v>143.9</v>
      </c>
      <c r="AG55" s="51">
        <v>144</v>
      </c>
      <c r="AH55" s="47">
        <f t="shared" si="2"/>
        <v>143.9</v>
      </c>
      <c r="AI55" s="48">
        <f t="shared" si="3"/>
        <v>141.5</v>
      </c>
      <c r="AK55" s="50"/>
    </row>
    <row r="56" spans="1:41" x14ac:dyDescent="0.25">
      <c r="A56" s="53" t="s">
        <v>64</v>
      </c>
      <c r="B56" s="64">
        <v>70.7</v>
      </c>
      <c r="C56" s="64">
        <v>70.7</v>
      </c>
      <c r="D56" s="64">
        <v>69.900000000000006</v>
      </c>
      <c r="E56" s="64">
        <v>69.8</v>
      </c>
      <c r="F56" s="64">
        <v>71</v>
      </c>
      <c r="G56" s="64">
        <v>71</v>
      </c>
      <c r="H56" s="64">
        <v>71</v>
      </c>
      <c r="I56" s="64">
        <v>69.400000000000006</v>
      </c>
      <c r="J56" s="64">
        <v>69.599999999999994</v>
      </c>
      <c r="K56" s="64">
        <v>69.5</v>
      </c>
      <c r="L56" s="64">
        <v>69.3</v>
      </c>
      <c r="M56" s="64">
        <v>69.3</v>
      </c>
      <c r="N56" s="64">
        <v>69.3</v>
      </c>
      <c r="O56" s="64">
        <v>69.3</v>
      </c>
      <c r="P56" s="64">
        <v>68.7</v>
      </c>
      <c r="Q56" s="64">
        <v>68.7</v>
      </c>
      <c r="R56" s="64">
        <v>68.7</v>
      </c>
      <c r="S56" s="64">
        <v>68.7</v>
      </c>
      <c r="T56" s="64">
        <v>68.7</v>
      </c>
      <c r="U56" s="64">
        <v>68.7</v>
      </c>
      <c r="V56" s="64">
        <v>68.7</v>
      </c>
      <c r="W56" s="64">
        <v>68.7</v>
      </c>
      <c r="X56" s="64">
        <v>68.7</v>
      </c>
      <c r="Y56" s="45">
        <v>65.3</v>
      </c>
      <c r="Z56" s="45">
        <v>61.2</v>
      </c>
      <c r="AA56" s="45">
        <v>61.2</v>
      </c>
      <c r="AB56" s="45">
        <v>61.2</v>
      </c>
      <c r="AC56" s="45">
        <v>61.2</v>
      </c>
      <c r="AD56" s="45">
        <v>61.2</v>
      </c>
      <c r="AE56" s="45">
        <v>61.2</v>
      </c>
      <c r="AF56" s="45">
        <v>61.2</v>
      </c>
      <c r="AG56" s="54">
        <v>70</v>
      </c>
      <c r="AH56" s="47">
        <f t="shared" si="2"/>
        <v>71</v>
      </c>
      <c r="AI56" s="48">
        <f t="shared" si="3"/>
        <v>61.2</v>
      </c>
      <c r="AK56" s="50"/>
    </row>
    <row r="57" spans="1:41" x14ac:dyDescent="0.25">
      <c r="A57" s="53" t="s">
        <v>65</v>
      </c>
      <c r="B57" s="64">
        <v>65.2</v>
      </c>
      <c r="C57" s="64">
        <v>64</v>
      </c>
      <c r="D57" s="64">
        <v>64.099999999999994</v>
      </c>
      <c r="E57" s="64">
        <v>60.1</v>
      </c>
      <c r="F57" s="64">
        <v>64.7</v>
      </c>
      <c r="G57" s="64">
        <v>64.7</v>
      </c>
      <c r="H57" s="64">
        <v>64.7</v>
      </c>
      <c r="I57" s="64">
        <v>60.1</v>
      </c>
      <c r="J57" s="64">
        <v>64.8</v>
      </c>
      <c r="K57" s="64">
        <v>64.400000000000006</v>
      </c>
      <c r="L57" s="64">
        <v>64.599999999999994</v>
      </c>
      <c r="M57" s="64">
        <v>64.599999999999994</v>
      </c>
      <c r="N57" s="64">
        <v>64.599999999999994</v>
      </c>
      <c r="O57" s="64">
        <v>64.599999999999994</v>
      </c>
      <c r="P57" s="64">
        <v>62.4</v>
      </c>
      <c r="Q57" s="64">
        <v>62.4</v>
      </c>
      <c r="R57" s="64">
        <v>62.4</v>
      </c>
      <c r="S57" s="64">
        <v>62.4</v>
      </c>
      <c r="T57" s="64">
        <v>62.4</v>
      </c>
      <c r="U57" s="64">
        <v>62.4</v>
      </c>
      <c r="V57" s="64">
        <v>62.4</v>
      </c>
      <c r="W57" s="64">
        <v>62.4</v>
      </c>
      <c r="X57" s="64">
        <v>62.4</v>
      </c>
      <c r="Y57" s="45">
        <v>64.900000000000006</v>
      </c>
      <c r="Z57" s="45">
        <v>53.5</v>
      </c>
      <c r="AA57" s="45">
        <v>53.5</v>
      </c>
      <c r="AB57" s="45">
        <v>60.4</v>
      </c>
      <c r="AC57" s="45">
        <v>60.4</v>
      </c>
      <c r="AD57" s="45">
        <v>62.2</v>
      </c>
      <c r="AE57" s="45">
        <v>62.2</v>
      </c>
      <c r="AF57" s="45">
        <v>62.2</v>
      </c>
      <c r="AG57" s="54">
        <v>69</v>
      </c>
      <c r="AH57" s="47">
        <f t="shared" si="2"/>
        <v>65.2</v>
      </c>
      <c r="AI57" s="48">
        <f t="shared" si="3"/>
        <v>53.5</v>
      </c>
      <c r="AK57" s="50"/>
    </row>
    <row r="58" spans="1:41" x14ac:dyDescent="0.25">
      <c r="A58" s="53" t="s">
        <v>66</v>
      </c>
      <c r="B58" s="64">
        <v>61.2</v>
      </c>
      <c r="C58" s="64">
        <v>61.2</v>
      </c>
      <c r="D58" s="64">
        <v>60</v>
      </c>
      <c r="E58" s="56">
        <v>60.4</v>
      </c>
      <c r="F58" s="56">
        <v>60.9</v>
      </c>
      <c r="G58" s="56">
        <v>60.9</v>
      </c>
      <c r="H58" s="56">
        <v>60.9</v>
      </c>
      <c r="I58" s="56">
        <v>50.4</v>
      </c>
      <c r="J58" s="56">
        <v>61.4</v>
      </c>
      <c r="K58" s="56">
        <v>61.4</v>
      </c>
      <c r="L58" s="56">
        <v>61.2</v>
      </c>
      <c r="M58" s="56">
        <v>61.2</v>
      </c>
      <c r="N58" s="56">
        <v>61.2</v>
      </c>
      <c r="O58" s="56">
        <v>61.2</v>
      </c>
      <c r="P58" s="64">
        <v>29.7</v>
      </c>
      <c r="Q58" s="64">
        <v>29.7</v>
      </c>
      <c r="R58" s="64">
        <v>29.7</v>
      </c>
      <c r="S58" s="64">
        <v>0</v>
      </c>
      <c r="T58" s="64">
        <v>45</v>
      </c>
      <c r="U58" s="64">
        <v>45</v>
      </c>
      <c r="V58" s="64">
        <v>45</v>
      </c>
      <c r="W58" s="64">
        <v>45</v>
      </c>
      <c r="X58" s="64">
        <v>45</v>
      </c>
      <c r="Y58" s="45">
        <v>62</v>
      </c>
      <c r="Z58" s="45">
        <v>45.9</v>
      </c>
      <c r="AA58" s="45">
        <v>45.9</v>
      </c>
      <c r="AB58" s="45">
        <v>45.9</v>
      </c>
      <c r="AC58" s="45">
        <v>61</v>
      </c>
      <c r="AD58" s="45">
        <v>61</v>
      </c>
      <c r="AE58" s="45">
        <v>61</v>
      </c>
      <c r="AF58" s="45">
        <v>61</v>
      </c>
      <c r="AG58" s="54">
        <v>60</v>
      </c>
      <c r="AH58" s="47">
        <f t="shared" si="2"/>
        <v>62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56">
        <v>29</v>
      </c>
      <c r="F59" s="56">
        <v>29</v>
      </c>
      <c r="G59" s="56">
        <v>29</v>
      </c>
      <c r="H59" s="56">
        <v>29</v>
      </c>
      <c r="I59" s="56">
        <v>29</v>
      </c>
      <c r="J59" s="56">
        <v>0</v>
      </c>
      <c r="K59" s="56">
        <v>0</v>
      </c>
      <c r="L59" s="56">
        <v>0</v>
      </c>
      <c r="M59" s="56">
        <v>0</v>
      </c>
      <c r="N59" s="56">
        <v>0</v>
      </c>
      <c r="O59" s="56">
        <v>10</v>
      </c>
      <c r="P59" s="56">
        <v>10</v>
      </c>
      <c r="Q59" s="56">
        <v>10</v>
      </c>
      <c r="R59" s="56">
        <v>10</v>
      </c>
      <c r="S59" s="56">
        <v>10</v>
      </c>
      <c r="T59" s="56">
        <v>10</v>
      </c>
      <c r="U59" s="56">
        <v>10</v>
      </c>
      <c r="V59" s="56">
        <v>10</v>
      </c>
      <c r="W59" s="56">
        <v>15</v>
      </c>
      <c r="X59" s="56">
        <v>15</v>
      </c>
      <c r="Y59" s="45">
        <v>15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26</v>
      </c>
      <c r="AF59" s="45">
        <v>26</v>
      </c>
      <c r="AG59" s="54">
        <v>30</v>
      </c>
      <c r="AH59" s="47">
        <f t="shared" si="2"/>
        <v>30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1.5</v>
      </c>
      <c r="K60" s="64">
        <v>1.6</v>
      </c>
      <c r="L60" s="64">
        <v>3.4</v>
      </c>
      <c r="M60" s="64">
        <v>3.4</v>
      </c>
      <c r="N60" s="64">
        <v>3.4</v>
      </c>
      <c r="O60" s="64">
        <v>3.4</v>
      </c>
      <c r="P60" s="64">
        <v>3.4</v>
      </c>
      <c r="Q60" s="64">
        <v>3.4</v>
      </c>
      <c r="R60" s="64">
        <v>3.4</v>
      </c>
      <c r="S60" s="64">
        <v>15.1</v>
      </c>
      <c r="T60" s="64">
        <v>8.4</v>
      </c>
      <c r="U60" s="64">
        <v>8.4</v>
      </c>
      <c r="V60" s="64">
        <v>2.5</v>
      </c>
      <c r="W60" s="64">
        <v>0.9</v>
      </c>
      <c r="X60" s="64">
        <v>0.9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15.1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11</v>
      </c>
      <c r="F61" s="64">
        <v>11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11</v>
      </c>
      <c r="AK61" s="50"/>
    </row>
    <row r="62" spans="1:41" x14ac:dyDescent="0.25">
      <c r="A62" s="53" t="s">
        <v>70</v>
      </c>
      <c r="B62" s="64">
        <v>4.2</v>
      </c>
      <c r="C62" s="64">
        <v>4.2</v>
      </c>
      <c r="D62" s="64">
        <v>4.2</v>
      </c>
      <c r="E62" s="64">
        <v>4.2</v>
      </c>
      <c r="F62" s="64">
        <v>4.2</v>
      </c>
      <c r="G62" s="64">
        <v>4.2</v>
      </c>
      <c r="H62" s="64">
        <v>4.2</v>
      </c>
      <c r="I62" s="64">
        <v>4.2</v>
      </c>
      <c r="J62" s="64">
        <v>4.2</v>
      </c>
      <c r="K62" s="64">
        <v>4.2</v>
      </c>
      <c r="L62" s="64">
        <v>4.2</v>
      </c>
      <c r="M62" s="64">
        <v>4.2</v>
      </c>
      <c r="N62" s="64">
        <v>4.2</v>
      </c>
      <c r="O62" s="64">
        <v>4.2</v>
      </c>
      <c r="P62" s="64">
        <v>4.2</v>
      </c>
      <c r="Q62" s="64">
        <v>4.2</v>
      </c>
      <c r="R62" s="64">
        <v>4.2</v>
      </c>
      <c r="S62" s="64">
        <v>4.2</v>
      </c>
      <c r="T62" s="64">
        <v>4.2</v>
      </c>
      <c r="U62" s="64">
        <v>4.2</v>
      </c>
      <c r="V62" s="64">
        <v>4.2</v>
      </c>
      <c r="W62" s="64">
        <v>4.2</v>
      </c>
      <c r="X62" s="64">
        <v>4.2</v>
      </c>
      <c r="Y62" s="64">
        <v>4.2</v>
      </c>
      <c r="Z62" s="64">
        <v>4.2</v>
      </c>
      <c r="AA62" s="64">
        <v>4.2</v>
      </c>
      <c r="AB62" s="64">
        <v>4.2</v>
      </c>
      <c r="AC62" s="64">
        <v>4.2</v>
      </c>
      <c r="AD62" s="64">
        <v>4.2</v>
      </c>
      <c r="AE62" s="64">
        <v>4.2</v>
      </c>
      <c r="AF62" s="64">
        <v>4.2</v>
      </c>
      <c r="AG62" s="54">
        <v>15</v>
      </c>
      <c r="AH62" s="47">
        <f t="shared" si="2"/>
        <v>4.2</v>
      </c>
      <c r="AI62" s="48">
        <f t="shared" si="3"/>
        <v>4.2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11.6</v>
      </c>
      <c r="C63" s="64">
        <v>11.9</v>
      </c>
      <c r="D63" s="64">
        <v>11.9</v>
      </c>
      <c r="E63" s="64">
        <v>12</v>
      </c>
      <c r="F63" s="64">
        <v>11.5</v>
      </c>
      <c r="G63" s="64">
        <v>4</v>
      </c>
      <c r="H63" s="64">
        <v>8.1999999999999993</v>
      </c>
      <c r="I63" s="64">
        <v>9.1</v>
      </c>
      <c r="J63" s="64">
        <v>9.1</v>
      </c>
      <c r="K63" s="64">
        <v>9.1</v>
      </c>
      <c r="L63" s="64">
        <v>9.1</v>
      </c>
      <c r="M63" s="64">
        <v>9.1</v>
      </c>
      <c r="N63" s="64">
        <v>9.1</v>
      </c>
      <c r="O63" s="64">
        <v>9.1</v>
      </c>
      <c r="P63" s="64">
        <v>9.1</v>
      </c>
      <c r="Q63" s="64">
        <v>9.1</v>
      </c>
      <c r="R63" s="64">
        <v>9.1</v>
      </c>
      <c r="S63" s="64">
        <v>7</v>
      </c>
      <c r="T63" s="64">
        <v>7</v>
      </c>
      <c r="U63" s="64">
        <v>7</v>
      </c>
      <c r="V63" s="64">
        <v>7</v>
      </c>
      <c r="W63" s="64">
        <v>7</v>
      </c>
      <c r="X63" s="64">
        <v>7</v>
      </c>
      <c r="Y63" s="64">
        <v>6.9</v>
      </c>
      <c r="Z63" s="64">
        <v>6.9</v>
      </c>
      <c r="AA63" s="64">
        <v>6.9</v>
      </c>
      <c r="AB63" s="64">
        <v>6.9</v>
      </c>
      <c r="AC63" s="64">
        <v>6.9</v>
      </c>
      <c r="AD63" s="64">
        <v>6.9</v>
      </c>
      <c r="AE63" s="64">
        <v>6.9</v>
      </c>
      <c r="AF63" s="64">
        <v>6.9</v>
      </c>
      <c r="AG63" s="54">
        <v>14.1</v>
      </c>
      <c r="AH63" s="47">
        <f t="shared" si="2"/>
        <v>12</v>
      </c>
      <c r="AI63" s="48">
        <f t="shared" si="3"/>
        <v>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2.6</v>
      </c>
      <c r="C64" s="64">
        <v>7.6</v>
      </c>
      <c r="D64" s="64">
        <v>8.1999999999999993</v>
      </c>
      <c r="E64" s="64">
        <v>3.8</v>
      </c>
      <c r="F64" s="64">
        <v>3.8</v>
      </c>
      <c r="G64" s="64">
        <v>9.6999999999999993</v>
      </c>
      <c r="H64" s="64">
        <v>9.9</v>
      </c>
      <c r="I64" s="64">
        <v>11.9</v>
      </c>
      <c r="J64" s="64">
        <v>11.9</v>
      </c>
      <c r="K64" s="64">
        <v>11.9</v>
      </c>
      <c r="L64" s="64">
        <v>10</v>
      </c>
      <c r="M64" s="64">
        <v>10</v>
      </c>
      <c r="N64" s="64">
        <v>10</v>
      </c>
      <c r="O64" s="64">
        <v>10</v>
      </c>
      <c r="P64" s="64">
        <v>10</v>
      </c>
      <c r="Q64" s="64">
        <v>10</v>
      </c>
      <c r="R64" s="64">
        <v>10</v>
      </c>
      <c r="S64" s="64">
        <v>10</v>
      </c>
      <c r="T64" s="64">
        <v>4</v>
      </c>
      <c r="U64" s="64">
        <v>4</v>
      </c>
      <c r="V64" s="64">
        <v>4</v>
      </c>
      <c r="W64" s="64">
        <v>8</v>
      </c>
      <c r="X64" s="64">
        <v>12</v>
      </c>
      <c r="Y64" s="64">
        <v>12.1</v>
      </c>
      <c r="Z64" s="64">
        <v>12.1</v>
      </c>
      <c r="AA64" s="64">
        <v>12.1</v>
      </c>
      <c r="AB64" s="64">
        <v>12.1</v>
      </c>
      <c r="AC64" s="64">
        <v>12.1</v>
      </c>
      <c r="AD64" s="64">
        <v>6.8</v>
      </c>
      <c r="AE64" s="64">
        <v>6.8</v>
      </c>
      <c r="AF64" s="64">
        <v>6.8</v>
      </c>
      <c r="AG64" s="54">
        <v>14</v>
      </c>
      <c r="AH64" s="47">
        <f t="shared" si="2"/>
        <v>12.1</v>
      </c>
      <c r="AI64" s="48">
        <f t="shared" si="3"/>
        <v>2.6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420.44</v>
      </c>
      <c r="C68" s="60">
        <f>SUM(C55:C67)</f>
        <v>424.64</v>
      </c>
      <c r="D68" s="60">
        <f>SUM(D55:D67)</f>
        <v>423.63999999999993</v>
      </c>
      <c r="E68" s="60">
        <f t="shared" ref="E68:AG68" si="7">SUM(E55:E67)</f>
        <v>411.64</v>
      </c>
      <c r="F68" s="60">
        <f t="shared" si="7"/>
        <v>417.03999999999996</v>
      </c>
      <c r="G68" s="60">
        <f t="shared" si="7"/>
        <v>420.43999999999994</v>
      </c>
      <c r="H68" s="60">
        <f t="shared" si="7"/>
        <v>424.83999999999992</v>
      </c>
      <c r="I68" s="60">
        <f t="shared" si="7"/>
        <v>410.64</v>
      </c>
      <c r="J68" s="60">
        <f t="shared" si="7"/>
        <v>398.93999999999994</v>
      </c>
      <c r="K68" s="60">
        <f t="shared" si="7"/>
        <v>398.53999999999996</v>
      </c>
      <c r="L68" s="60">
        <f t="shared" si="7"/>
        <v>398.34</v>
      </c>
      <c r="M68" s="60">
        <f t="shared" si="7"/>
        <v>398.34</v>
      </c>
      <c r="N68" s="60">
        <f t="shared" si="7"/>
        <v>398.34</v>
      </c>
      <c r="O68" s="60">
        <f t="shared" si="7"/>
        <v>408.34</v>
      </c>
      <c r="P68" s="60">
        <f t="shared" si="7"/>
        <v>374.73999999999995</v>
      </c>
      <c r="Q68" s="60">
        <f t="shared" si="7"/>
        <v>374.73999999999995</v>
      </c>
      <c r="R68" s="60">
        <f t="shared" si="7"/>
        <v>374.73999999999995</v>
      </c>
      <c r="S68" s="60">
        <f t="shared" si="7"/>
        <v>354.64</v>
      </c>
      <c r="T68" s="60">
        <f>SUM(T55:T67)</f>
        <v>386.93999999999994</v>
      </c>
      <c r="U68" s="60">
        <f>SUM(U55:U67)</f>
        <v>386.93999999999994</v>
      </c>
      <c r="V68" s="60">
        <f t="shared" si="7"/>
        <v>381.03999999999996</v>
      </c>
      <c r="W68" s="60">
        <f t="shared" si="7"/>
        <v>388.43999999999994</v>
      </c>
      <c r="X68" s="60">
        <f t="shared" si="7"/>
        <v>392.43999999999994</v>
      </c>
      <c r="Y68" s="60">
        <f t="shared" si="7"/>
        <v>408.74</v>
      </c>
      <c r="Z68" s="60">
        <f t="shared" si="7"/>
        <v>392.14</v>
      </c>
      <c r="AA68" s="60">
        <f t="shared" si="7"/>
        <v>392.14</v>
      </c>
      <c r="AB68" s="60">
        <f t="shared" si="7"/>
        <v>399.53999999999996</v>
      </c>
      <c r="AC68" s="60">
        <f t="shared" si="7"/>
        <v>414.64</v>
      </c>
      <c r="AD68" s="60">
        <f t="shared" si="7"/>
        <v>411.14</v>
      </c>
      <c r="AE68" s="60">
        <f t="shared" si="7"/>
        <v>407.14</v>
      </c>
      <c r="AF68" s="60">
        <f t="shared" si="7"/>
        <v>407.14</v>
      </c>
      <c r="AG68" s="61">
        <f t="shared" si="7"/>
        <v>489.91</v>
      </c>
      <c r="AH68" s="47">
        <f t="shared" si="2"/>
        <v>424.83999999999992</v>
      </c>
      <c r="AI68" s="48">
        <f t="shared" si="3"/>
        <v>354.64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/>
      <c r="AC69" s="45"/>
      <c r="AD69" s="45"/>
      <c r="AE69" s="45"/>
      <c r="AF69" s="45"/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64"/>
      <c r="C70" s="64"/>
      <c r="D70" s="64"/>
      <c r="E70" s="64"/>
      <c r="F70" s="64"/>
      <c r="G70" s="64"/>
      <c r="H70" s="64"/>
      <c r="I70" s="64"/>
      <c r="J70" s="64"/>
      <c r="K70" s="64">
        <v>4.7</v>
      </c>
      <c r="L70" s="64"/>
      <c r="M70" s="64"/>
      <c r="N70" s="64"/>
      <c r="O70" s="64"/>
      <c r="P70" s="64"/>
      <c r="Q70" s="64"/>
      <c r="R70" s="64"/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0</v>
      </c>
      <c r="AA70" s="64">
        <v>0</v>
      </c>
      <c r="AB70" s="64"/>
      <c r="AC70" s="64"/>
      <c r="AD70" s="64"/>
      <c r="AE70" s="64"/>
      <c r="AF70" s="64"/>
      <c r="AG70" s="54">
        <v>32</v>
      </c>
      <c r="AH70" s="47">
        <f t="shared" si="2"/>
        <v>4.7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/>
      <c r="C71" s="66"/>
      <c r="D71" s="66"/>
      <c r="E71" s="66"/>
      <c r="F71" s="66"/>
      <c r="G71" s="66"/>
      <c r="H71" s="66"/>
      <c r="I71" s="66"/>
      <c r="J71" s="66"/>
      <c r="K71" s="66">
        <v>1.7</v>
      </c>
      <c r="L71" s="66"/>
      <c r="M71" s="66"/>
      <c r="N71" s="66"/>
      <c r="O71" s="66"/>
      <c r="P71" s="66"/>
      <c r="Q71" s="66"/>
      <c r="R71" s="66"/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0</v>
      </c>
      <c r="AA71" s="66">
        <v>0</v>
      </c>
      <c r="AB71" s="66"/>
      <c r="AC71" s="66"/>
      <c r="AD71" s="66"/>
      <c r="AE71" s="66"/>
      <c r="AF71" s="66"/>
      <c r="AG71" s="67">
        <v>14</v>
      </c>
      <c r="AH71" s="47">
        <f t="shared" si="2"/>
        <v>1.7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f>C69+C70+C71</f>
        <v>0</v>
      </c>
      <c r="D72" s="60">
        <f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0</v>
      </c>
      <c r="P72" s="60">
        <f t="shared" si="8"/>
        <v>0</v>
      </c>
      <c r="Q72" s="60">
        <f t="shared" si="8"/>
        <v>0</v>
      </c>
      <c r="R72" s="60">
        <f t="shared" si="8"/>
        <v>0</v>
      </c>
      <c r="S72" s="60">
        <f t="shared" si="8"/>
        <v>0</v>
      </c>
      <c r="T72" s="60">
        <f>T69+T70+T71</f>
        <v>0</v>
      </c>
      <c r="U72" s="60">
        <f>U69+U70+U71</f>
        <v>0</v>
      </c>
      <c r="V72" s="60">
        <f t="shared" si="8"/>
        <v>0</v>
      </c>
      <c r="W72" s="60">
        <f t="shared" si="8"/>
        <v>0</v>
      </c>
      <c r="X72" s="60">
        <f t="shared" si="8"/>
        <v>0</v>
      </c>
      <c r="Y72" s="60">
        <f t="shared" si="8"/>
        <v>0</v>
      </c>
      <c r="Z72" s="60">
        <f t="shared" si="8"/>
        <v>0</v>
      </c>
      <c r="AA72" s="60">
        <f t="shared" si="8"/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-45.9</v>
      </c>
      <c r="C73" s="45">
        <v>-49.8</v>
      </c>
      <c r="D73" s="45">
        <v>-51.2</v>
      </c>
      <c r="E73" s="45">
        <v>-54</v>
      </c>
      <c r="F73" s="45">
        <v>-58</v>
      </c>
      <c r="G73" s="45">
        <v>-61</v>
      </c>
      <c r="H73" s="45">
        <v>-62</v>
      </c>
      <c r="I73" s="45">
        <v>-66.400000000000006</v>
      </c>
      <c r="J73" s="45">
        <v>-19</v>
      </c>
      <c r="K73" s="45">
        <v>-35</v>
      </c>
      <c r="L73" s="45">
        <v>-60.3</v>
      </c>
      <c r="M73" s="45">
        <v>-65.400000000000006</v>
      </c>
      <c r="N73" s="45">
        <v>-64</v>
      </c>
      <c r="O73" s="45">
        <v>-63</v>
      </c>
      <c r="P73" s="45">
        <v>-63.9</v>
      </c>
      <c r="Q73" s="45">
        <v>-67</v>
      </c>
      <c r="R73" s="45">
        <v>-62</v>
      </c>
      <c r="S73" s="45">
        <v>-64.2</v>
      </c>
      <c r="T73" s="45">
        <v>-67</v>
      </c>
      <c r="U73" s="45">
        <v>-66</v>
      </c>
      <c r="V73" s="45">
        <v>-69</v>
      </c>
      <c r="W73" s="45">
        <v>-69.5</v>
      </c>
      <c r="X73" s="45">
        <v>-70</v>
      </c>
      <c r="Y73" s="45">
        <v>-43.6</v>
      </c>
      <c r="Z73" s="45">
        <v>-12.1</v>
      </c>
      <c r="AA73" s="45">
        <v>-5.9</v>
      </c>
      <c r="AB73" s="45">
        <v>-2</v>
      </c>
      <c r="AC73" s="45">
        <v>-39.200000000000003</v>
      </c>
      <c r="AD73" s="45">
        <v>-67</v>
      </c>
      <c r="AE73" s="45">
        <v>-70.3</v>
      </c>
      <c r="AF73" s="45">
        <v>-70.2</v>
      </c>
      <c r="AG73" s="51"/>
      <c r="AH73" s="47">
        <f t="shared" si="2"/>
        <v>-2</v>
      </c>
      <c r="AI73" s="48">
        <f t="shared" si="3"/>
        <v>-70.3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-513.1</v>
      </c>
      <c r="C75" s="64">
        <v>-541</v>
      </c>
      <c r="D75" s="64">
        <v>-570.79999999999995</v>
      </c>
      <c r="E75" s="64">
        <v>-565</v>
      </c>
      <c r="F75" s="64">
        <v>-598</v>
      </c>
      <c r="G75" s="64">
        <v>-602.9</v>
      </c>
      <c r="H75" s="64">
        <v>-580</v>
      </c>
      <c r="I75" s="64">
        <v>-590.79999999999995</v>
      </c>
      <c r="J75" s="64">
        <v>-603.70000000000005</v>
      </c>
      <c r="K75" s="64">
        <v>-610</v>
      </c>
      <c r="L75" s="64">
        <v>-599.9</v>
      </c>
      <c r="M75" s="64">
        <v>-552</v>
      </c>
      <c r="N75" s="64">
        <v>-517</v>
      </c>
      <c r="O75" s="64">
        <v>-598</v>
      </c>
      <c r="P75" s="64">
        <v>-601</v>
      </c>
      <c r="Q75" s="64">
        <v>-602</v>
      </c>
      <c r="R75" s="64">
        <v>-603</v>
      </c>
      <c r="S75" s="64">
        <v>-626.70000000000005</v>
      </c>
      <c r="T75" s="64">
        <v>-646</v>
      </c>
      <c r="U75" s="64">
        <v>-648</v>
      </c>
      <c r="V75" s="64">
        <v>-616.79999999999995</v>
      </c>
      <c r="W75" s="64">
        <v>-630</v>
      </c>
      <c r="X75" s="64">
        <v>-550</v>
      </c>
      <c r="Y75" s="64">
        <v>-504.4</v>
      </c>
      <c r="Z75" s="64">
        <v>-555</v>
      </c>
      <c r="AA75" s="64">
        <v>-587.70000000000005</v>
      </c>
      <c r="AB75" s="64">
        <v>-619.70000000000005</v>
      </c>
      <c r="AC75" s="64">
        <v>-587</v>
      </c>
      <c r="AD75" s="64">
        <v>-586</v>
      </c>
      <c r="AE75" s="64">
        <v>-613</v>
      </c>
      <c r="AF75" s="64">
        <v>-587</v>
      </c>
      <c r="AG75" s="74"/>
      <c r="AH75" s="47">
        <f t="shared" si="2"/>
        <v>-504.4</v>
      </c>
      <c r="AI75" s="48">
        <f t="shared" si="3"/>
        <v>-648</v>
      </c>
      <c r="AK75" s="50"/>
    </row>
    <row r="76" spans="1:40" x14ac:dyDescent="0.25">
      <c r="A76" s="53" t="s">
        <v>84</v>
      </c>
      <c r="B76" s="75"/>
      <c r="C76" s="75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/>
      <c r="AD77" s="45"/>
      <c r="AE77" s="45"/>
      <c r="AF77" s="45"/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76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/>
      <c r="AD78" s="76"/>
      <c r="AE78" s="76"/>
      <c r="AF78" s="76"/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76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/>
      <c r="AD79" s="76"/>
      <c r="AE79" s="76"/>
      <c r="AF79" s="76"/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>
        <v>0</v>
      </c>
      <c r="AC80" s="76"/>
      <c r="AD80" s="76"/>
      <c r="AE80" s="76"/>
      <c r="AF80" s="76"/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>
        <v>0</v>
      </c>
      <c r="AC81" s="76"/>
      <c r="AD81" s="76"/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/>
      <c r="AD82" s="76"/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/>
      <c r="AD83" s="76"/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>SUMIF(B73:B83,"&gt;0")</f>
        <v>0</v>
      </c>
      <c r="C84" s="60">
        <f>SUMIF(C73:C83,"&gt;0")</f>
        <v>0</v>
      </c>
      <c r="D84" s="60">
        <f t="shared" ref="D84:AF84" si="11">SUMIF(D73:D83,"&gt;0")</f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0</v>
      </c>
      <c r="R84" s="60">
        <f t="shared" si="11"/>
        <v>0</v>
      </c>
      <c r="S84" s="60">
        <f t="shared" si="11"/>
        <v>0</v>
      </c>
      <c r="T84" s="60">
        <f>SUMIF(T73:T83,"&gt;0")</f>
        <v>0</v>
      </c>
      <c r="U84" s="60">
        <f>SUMIF(U73:U83,"&gt;0")</f>
        <v>0</v>
      </c>
      <c r="V84" s="60">
        <f t="shared" si="11"/>
        <v>0</v>
      </c>
      <c r="W84" s="60">
        <f t="shared" si="11"/>
        <v>0</v>
      </c>
      <c r="X84" s="60">
        <f t="shared" si="11"/>
        <v>0</v>
      </c>
      <c r="Y84" s="60">
        <f t="shared" si="11"/>
        <v>0</v>
      </c>
      <c r="Z84" s="60">
        <f t="shared" si="11"/>
        <v>0</v>
      </c>
      <c r="AA84" s="60">
        <f t="shared" si="11"/>
        <v>0</v>
      </c>
      <c r="AB84" s="60">
        <f t="shared" si="11"/>
        <v>0</v>
      </c>
      <c r="AC84" s="60">
        <f t="shared" si="11"/>
        <v>0</v>
      </c>
      <c r="AD84" s="60">
        <f t="shared" si="11"/>
        <v>0</v>
      </c>
      <c r="AE84" s="60">
        <f t="shared" si="11"/>
        <v>0</v>
      </c>
      <c r="AF84" s="60">
        <f t="shared" si="11"/>
        <v>0</v>
      </c>
      <c r="AG84" s="87">
        <f>SUM(AG73:AG83)</f>
        <v>0</v>
      </c>
      <c r="AH84" s="47">
        <f t="shared" si="9"/>
        <v>0</v>
      </c>
      <c r="AI84" s="48">
        <f t="shared" si="10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>B50+B54+B72+B68+B84+B88</f>
        <v>2022.24</v>
      </c>
      <c r="C89" s="94">
        <f>C50+C54+C72+C68+C84+C88</f>
        <v>2051.14</v>
      </c>
      <c r="D89" s="94">
        <f t="shared" ref="D89:AG89" si="12">D50+D54+D72+D68+D84+D88</f>
        <v>2050.04</v>
      </c>
      <c r="E89" s="94">
        <f t="shared" si="12"/>
        <v>2031.8400000000001</v>
      </c>
      <c r="F89" s="94">
        <f t="shared" si="12"/>
        <v>2011.44</v>
      </c>
      <c r="G89" s="94">
        <f t="shared" si="12"/>
        <v>2014.8400000000001</v>
      </c>
      <c r="H89" s="94">
        <f t="shared" si="12"/>
        <v>2019.24</v>
      </c>
      <c r="I89" s="94">
        <f t="shared" si="12"/>
        <v>2035.04</v>
      </c>
      <c r="J89" s="94">
        <f t="shared" si="12"/>
        <v>2035.3400000000001</v>
      </c>
      <c r="K89" s="94">
        <f t="shared" si="12"/>
        <v>2034.94</v>
      </c>
      <c r="L89" s="94">
        <f t="shared" si="12"/>
        <v>2039.74</v>
      </c>
      <c r="M89" s="94">
        <f t="shared" si="12"/>
        <v>2039.74</v>
      </c>
      <c r="N89" s="94">
        <f t="shared" si="12"/>
        <v>2011.84</v>
      </c>
      <c r="O89" s="94">
        <f t="shared" si="12"/>
        <v>2021.84</v>
      </c>
      <c r="P89" s="94">
        <f t="shared" si="12"/>
        <v>1973.24</v>
      </c>
      <c r="Q89" s="94">
        <f t="shared" si="12"/>
        <v>1973.24</v>
      </c>
      <c r="R89" s="94">
        <f t="shared" si="12"/>
        <v>1999.24</v>
      </c>
      <c r="S89" s="94">
        <f t="shared" si="12"/>
        <v>1979.1399999999999</v>
      </c>
      <c r="T89" s="94">
        <f>T50+T54+T72+T68+T84+T88</f>
        <v>1986.04</v>
      </c>
      <c r="U89" s="94">
        <f>U50+U54+U72+U68+U84+U88</f>
        <v>1986.04</v>
      </c>
      <c r="V89" s="94">
        <f t="shared" si="12"/>
        <v>1980.1399999999999</v>
      </c>
      <c r="W89" s="94">
        <f t="shared" si="12"/>
        <v>1987.54</v>
      </c>
      <c r="X89" s="94">
        <f t="shared" si="12"/>
        <v>1991.54</v>
      </c>
      <c r="Y89" s="94">
        <f t="shared" si="12"/>
        <v>2107.6400000000003</v>
      </c>
      <c r="Z89" s="94">
        <f t="shared" si="12"/>
        <v>2080.44</v>
      </c>
      <c r="AA89" s="94">
        <f t="shared" si="12"/>
        <v>2075.44</v>
      </c>
      <c r="AB89" s="94">
        <f t="shared" si="12"/>
        <v>2082.84</v>
      </c>
      <c r="AC89" s="94">
        <f t="shared" si="12"/>
        <v>2049.94</v>
      </c>
      <c r="AD89" s="94">
        <f t="shared" si="12"/>
        <v>2033.94</v>
      </c>
      <c r="AE89" s="94">
        <f t="shared" si="12"/>
        <v>2023.94</v>
      </c>
      <c r="AF89" s="94">
        <f t="shared" si="12"/>
        <v>2000.1399999999999</v>
      </c>
      <c r="AG89" s="61">
        <f t="shared" si="12"/>
        <v>2111.5500000000002</v>
      </c>
      <c r="AH89" s="47">
        <f t="shared" si="9"/>
        <v>2107.6400000000003</v>
      </c>
      <c r="AI89" s="48">
        <f t="shared" si="10"/>
        <v>1973.24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0</v>
      </c>
      <c r="AI90" s="48">
        <f t="shared" si="10"/>
        <v>0</v>
      </c>
    </row>
    <row r="91" spans="1:40" ht="15.75" thickBot="1" x14ac:dyDescent="0.3">
      <c r="A91" s="73" t="s">
        <v>102</v>
      </c>
      <c r="B91" s="94">
        <f>B89+B90</f>
        <v>2022.24</v>
      </c>
      <c r="C91" s="94">
        <f>C89+C90</f>
        <v>2051.14</v>
      </c>
      <c r="D91" s="94">
        <f t="shared" ref="D91:AF91" si="13">D89+D90</f>
        <v>2050.04</v>
      </c>
      <c r="E91" s="94">
        <f t="shared" si="13"/>
        <v>2031.8400000000001</v>
      </c>
      <c r="F91" s="94">
        <f t="shared" si="13"/>
        <v>2011.44</v>
      </c>
      <c r="G91" s="94">
        <f t="shared" si="13"/>
        <v>2014.8400000000001</v>
      </c>
      <c r="H91" s="94">
        <f t="shared" si="13"/>
        <v>2019.24</v>
      </c>
      <c r="I91" s="94">
        <f t="shared" si="13"/>
        <v>2035.04</v>
      </c>
      <c r="J91" s="94">
        <f t="shared" si="13"/>
        <v>2035.3400000000001</v>
      </c>
      <c r="K91" s="94">
        <f t="shared" si="13"/>
        <v>2034.94</v>
      </c>
      <c r="L91" s="94">
        <f t="shared" si="13"/>
        <v>2039.74</v>
      </c>
      <c r="M91" s="94">
        <f t="shared" si="13"/>
        <v>2039.74</v>
      </c>
      <c r="N91" s="94">
        <f t="shared" si="13"/>
        <v>2011.84</v>
      </c>
      <c r="O91" s="94">
        <f t="shared" si="13"/>
        <v>2021.84</v>
      </c>
      <c r="P91" s="94">
        <f t="shared" si="13"/>
        <v>1973.24</v>
      </c>
      <c r="Q91" s="94">
        <f t="shared" si="13"/>
        <v>1973.24</v>
      </c>
      <c r="R91" s="94">
        <f t="shared" si="13"/>
        <v>1999.24</v>
      </c>
      <c r="S91" s="94">
        <f t="shared" si="13"/>
        <v>1979.1399999999999</v>
      </c>
      <c r="T91" s="94">
        <f>T89+T90</f>
        <v>1986.04</v>
      </c>
      <c r="U91" s="94">
        <f>U89+U90</f>
        <v>1986.04</v>
      </c>
      <c r="V91" s="94">
        <f t="shared" si="13"/>
        <v>1980.1399999999999</v>
      </c>
      <c r="W91" s="94">
        <f t="shared" si="13"/>
        <v>1987.54</v>
      </c>
      <c r="X91" s="94">
        <f t="shared" si="13"/>
        <v>1991.54</v>
      </c>
      <c r="Y91" s="94">
        <f t="shared" si="13"/>
        <v>2107.6400000000003</v>
      </c>
      <c r="Z91" s="94">
        <f t="shared" si="13"/>
        <v>2080.44</v>
      </c>
      <c r="AA91" s="94">
        <f t="shared" si="13"/>
        <v>2075.44</v>
      </c>
      <c r="AB91" s="94">
        <f t="shared" si="13"/>
        <v>2082.84</v>
      </c>
      <c r="AC91" s="94">
        <f t="shared" si="13"/>
        <v>2049.94</v>
      </c>
      <c r="AD91" s="94">
        <f t="shared" si="13"/>
        <v>2033.94</v>
      </c>
      <c r="AE91" s="94">
        <f t="shared" si="13"/>
        <v>2023.94</v>
      </c>
      <c r="AF91" s="94">
        <f t="shared" si="13"/>
        <v>2000.1399999999999</v>
      </c>
      <c r="AG91" s="87">
        <f>AG88+AG84+AG72+AG68+AG50+AG90</f>
        <v>1573.45</v>
      </c>
      <c r="AH91" s="47">
        <f t="shared" si="9"/>
        <v>2107.6400000000003</v>
      </c>
      <c r="AI91" s="48">
        <f t="shared" si="10"/>
        <v>1973.24</v>
      </c>
    </row>
    <row r="92" spans="1:40" ht="15.75" thickBot="1" x14ac:dyDescent="0.3">
      <c r="A92" s="73" t="s">
        <v>103</v>
      </c>
      <c r="B92" s="94">
        <f>B91-(-B99)</f>
        <v>1509.1399999999999</v>
      </c>
      <c r="C92" s="94">
        <f>C91-(-C99)</f>
        <v>1510.1399999999999</v>
      </c>
      <c r="D92" s="94">
        <f t="shared" ref="D92:AF92" si="14">D91-(-D99)</f>
        <v>1479.24</v>
      </c>
      <c r="E92" s="94">
        <f t="shared" si="14"/>
        <v>1466.8400000000001</v>
      </c>
      <c r="F92" s="94">
        <f t="shared" si="14"/>
        <v>1413.44</v>
      </c>
      <c r="G92" s="94">
        <f t="shared" si="14"/>
        <v>1411.94</v>
      </c>
      <c r="H92" s="94">
        <f t="shared" si="14"/>
        <v>1439.24</v>
      </c>
      <c r="I92" s="94">
        <f t="shared" si="14"/>
        <v>1444.24</v>
      </c>
      <c r="J92" s="94">
        <f t="shared" si="14"/>
        <v>1431.64</v>
      </c>
      <c r="K92" s="94">
        <f t="shared" si="14"/>
        <v>1424.94</v>
      </c>
      <c r="L92" s="94">
        <f t="shared" si="14"/>
        <v>1439.8400000000001</v>
      </c>
      <c r="M92" s="94">
        <f t="shared" si="14"/>
        <v>1487.74</v>
      </c>
      <c r="N92" s="94">
        <f t="shared" si="14"/>
        <v>1494.84</v>
      </c>
      <c r="O92" s="94">
        <f t="shared" si="14"/>
        <v>1423.84</v>
      </c>
      <c r="P92" s="94">
        <f t="shared" si="14"/>
        <v>1372.24</v>
      </c>
      <c r="Q92" s="94">
        <f t="shared" si="14"/>
        <v>1371.24</v>
      </c>
      <c r="R92" s="94">
        <f t="shared" si="14"/>
        <v>1396.24</v>
      </c>
      <c r="S92" s="94">
        <f t="shared" si="14"/>
        <v>1352.4399999999998</v>
      </c>
      <c r="T92" s="94">
        <f>T91-(-T99)</f>
        <v>1340.04</v>
      </c>
      <c r="U92" s="94">
        <f>U91-(-U99)</f>
        <v>1338.04</v>
      </c>
      <c r="V92" s="94">
        <f t="shared" si="14"/>
        <v>1363.34</v>
      </c>
      <c r="W92" s="94">
        <f t="shared" si="14"/>
        <v>1357.54</v>
      </c>
      <c r="X92" s="94">
        <f t="shared" si="14"/>
        <v>1441.54</v>
      </c>
      <c r="Y92" s="94">
        <f t="shared" si="14"/>
        <v>1603.2400000000002</v>
      </c>
      <c r="Z92" s="94">
        <f t="shared" si="14"/>
        <v>1525.44</v>
      </c>
      <c r="AA92" s="94">
        <f t="shared" si="14"/>
        <v>1487.74</v>
      </c>
      <c r="AB92" s="94">
        <f t="shared" si="14"/>
        <v>1463.14</v>
      </c>
      <c r="AC92" s="94">
        <f t="shared" si="14"/>
        <v>1462.94</v>
      </c>
      <c r="AD92" s="94">
        <f t="shared" si="14"/>
        <v>1447.94</v>
      </c>
      <c r="AE92" s="94">
        <f t="shared" si="14"/>
        <v>1410.94</v>
      </c>
      <c r="AF92" s="94">
        <f t="shared" si="14"/>
        <v>1413.1399999999999</v>
      </c>
      <c r="AG92" s="87"/>
      <c r="AH92" s="47">
        <f t="shared" si="9"/>
        <v>1603.2400000000002</v>
      </c>
      <c r="AI92" s="48">
        <f t="shared" si="10"/>
        <v>1338.04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-513.1</v>
      </c>
      <c r="C99" s="60">
        <f>C75</f>
        <v>-541</v>
      </c>
      <c r="D99" s="60">
        <f t="shared" ref="D99:AF99" si="15">D75</f>
        <v>-570.79999999999995</v>
      </c>
      <c r="E99" s="60">
        <f t="shared" si="15"/>
        <v>-565</v>
      </c>
      <c r="F99" s="60">
        <f t="shared" si="15"/>
        <v>-598</v>
      </c>
      <c r="G99" s="60">
        <f t="shared" si="15"/>
        <v>-602.9</v>
      </c>
      <c r="H99" s="60">
        <f t="shared" si="15"/>
        <v>-580</v>
      </c>
      <c r="I99" s="60">
        <f t="shared" si="15"/>
        <v>-590.79999999999995</v>
      </c>
      <c r="J99" s="60">
        <f t="shared" si="15"/>
        <v>-603.70000000000005</v>
      </c>
      <c r="K99" s="60">
        <f t="shared" si="15"/>
        <v>-610</v>
      </c>
      <c r="L99" s="60">
        <f t="shared" si="15"/>
        <v>-599.9</v>
      </c>
      <c r="M99" s="60">
        <f t="shared" si="15"/>
        <v>-552</v>
      </c>
      <c r="N99" s="60">
        <f t="shared" si="15"/>
        <v>-517</v>
      </c>
      <c r="O99" s="60">
        <f t="shared" si="15"/>
        <v>-598</v>
      </c>
      <c r="P99" s="60">
        <f t="shared" si="15"/>
        <v>-601</v>
      </c>
      <c r="Q99" s="60">
        <f t="shared" si="15"/>
        <v>-602</v>
      </c>
      <c r="R99" s="60">
        <f t="shared" si="15"/>
        <v>-603</v>
      </c>
      <c r="S99" s="60">
        <f t="shared" si="15"/>
        <v>-626.70000000000005</v>
      </c>
      <c r="T99" s="60">
        <f>T75</f>
        <v>-646</v>
      </c>
      <c r="U99" s="60">
        <f>U75</f>
        <v>-648</v>
      </c>
      <c r="V99" s="60">
        <f t="shared" si="15"/>
        <v>-616.79999999999995</v>
      </c>
      <c r="W99" s="60">
        <f t="shared" si="15"/>
        <v>-630</v>
      </c>
      <c r="X99" s="60">
        <f t="shared" si="15"/>
        <v>-550</v>
      </c>
      <c r="Y99" s="60">
        <f t="shared" si="15"/>
        <v>-504.4</v>
      </c>
      <c r="Z99" s="60">
        <f t="shared" si="15"/>
        <v>-555</v>
      </c>
      <c r="AA99" s="60">
        <f t="shared" si="15"/>
        <v>-587.70000000000005</v>
      </c>
      <c r="AB99" s="60">
        <f t="shared" si="15"/>
        <v>-619.70000000000005</v>
      </c>
      <c r="AC99" s="60">
        <f t="shared" si="15"/>
        <v>-587</v>
      </c>
      <c r="AD99" s="60">
        <f t="shared" si="15"/>
        <v>-586</v>
      </c>
      <c r="AE99" s="60">
        <f t="shared" si="15"/>
        <v>-613</v>
      </c>
      <c r="AF99" s="60">
        <f t="shared" si="15"/>
        <v>-587</v>
      </c>
      <c r="AG99" s="87"/>
      <c r="AH99" s="47">
        <f t="shared" si="9"/>
        <v>-504.4</v>
      </c>
      <c r="AI99" s="48">
        <f t="shared" si="10"/>
        <v>-648</v>
      </c>
      <c r="AK99" s="50"/>
    </row>
    <row r="100" spans="1:37" ht="15.75" thickBot="1" x14ac:dyDescent="0.3">
      <c r="A100" s="73" t="s">
        <v>108</v>
      </c>
      <c r="B100" s="60">
        <f>B84-B99</f>
        <v>513.1</v>
      </c>
      <c r="C100" s="60">
        <f>C84-C99</f>
        <v>541</v>
      </c>
      <c r="D100" s="60">
        <f t="shared" ref="D100:AF100" si="16">D84-D99</f>
        <v>570.79999999999995</v>
      </c>
      <c r="E100" s="60">
        <f t="shared" si="16"/>
        <v>565</v>
      </c>
      <c r="F100" s="60">
        <f t="shared" si="16"/>
        <v>598</v>
      </c>
      <c r="G100" s="60">
        <f t="shared" si="16"/>
        <v>602.9</v>
      </c>
      <c r="H100" s="60">
        <f t="shared" si="16"/>
        <v>580</v>
      </c>
      <c r="I100" s="60">
        <f t="shared" si="16"/>
        <v>590.79999999999995</v>
      </c>
      <c r="J100" s="60">
        <f t="shared" si="16"/>
        <v>603.70000000000005</v>
      </c>
      <c r="K100" s="60">
        <f t="shared" si="16"/>
        <v>610</v>
      </c>
      <c r="L100" s="60">
        <f t="shared" si="16"/>
        <v>599.9</v>
      </c>
      <c r="M100" s="60">
        <f t="shared" si="16"/>
        <v>552</v>
      </c>
      <c r="N100" s="60">
        <f t="shared" si="16"/>
        <v>517</v>
      </c>
      <c r="O100" s="60">
        <f t="shared" si="16"/>
        <v>598</v>
      </c>
      <c r="P100" s="60">
        <f t="shared" si="16"/>
        <v>601</v>
      </c>
      <c r="Q100" s="60">
        <f t="shared" si="16"/>
        <v>602</v>
      </c>
      <c r="R100" s="60">
        <f t="shared" si="16"/>
        <v>603</v>
      </c>
      <c r="S100" s="60">
        <f t="shared" si="16"/>
        <v>626.70000000000005</v>
      </c>
      <c r="T100" s="60">
        <f>T84-T99</f>
        <v>646</v>
      </c>
      <c r="U100" s="60">
        <f>U84-U99</f>
        <v>648</v>
      </c>
      <c r="V100" s="60">
        <f t="shared" si="16"/>
        <v>616.79999999999995</v>
      </c>
      <c r="W100" s="60">
        <f t="shared" si="16"/>
        <v>630</v>
      </c>
      <c r="X100" s="60">
        <f t="shared" si="16"/>
        <v>550</v>
      </c>
      <c r="Y100" s="60">
        <f t="shared" si="16"/>
        <v>504.4</v>
      </c>
      <c r="Z100" s="60">
        <f t="shared" si="16"/>
        <v>555</v>
      </c>
      <c r="AA100" s="60">
        <f t="shared" si="16"/>
        <v>587.70000000000005</v>
      </c>
      <c r="AB100" s="60">
        <f t="shared" si="16"/>
        <v>619.70000000000005</v>
      </c>
      <c r="AC100" s="60">
        <f t="shared" si="16"/>
        <v>587</v>
      </c>
      <c r="AD100" s="60">
        <f t="shared" si="16"/>
        <v>586</v>
      </c>
      <c r="AE100" s="60">
        <f t="shared" si="16"/>
        <v>613</v>
      </c>
      <c r="AF100" s="60">
        <f t="shared" si="16"/>
        <v>587</v>
      </c>
      <c r="AG100" s="87"/>
      <c r="AH100" s="47">
        <f t="shared" si="9"/>
        <v>648</v>
      </c>
      <c r="AI100" s="48">
        <f t="shared" si="10"/>
        <v>504.4</v>
      </c>
    </row>
    <row r="101" spans="1:37" x14ac:dyDescent="0.25">
      <c r="A101" s="99" t="s">
        <v>109</v>
      </c>
      <c r="B101" s="100">
        <v>49.97</v>
      </c>
      <c r="C101" s="100">
        <v>49.99</v>
      </c>
      <c r="D101" s="100">
        <v>50.02</v>
      </c>
      <c r="E101" s="100">
        <v>50</v>
      </c>
      <c r="F101" s="100">
        <v>49.884999999999998</v>
      </c>
      <c r="G101" s="100">
        <v>49.917000000000002</v>
      </c>
      <c r="H101" s="100">
        <v>50.02</v>
      </c>
      <c r="I101" s="100">
        <v>49.987000000000002</v>
      </c>
      <c r="J101" s="100">
        <v>49.9</v>
      </c>
      <c r="K101" s="100">
        <v>50.000999999999998</v>
      </c>
      <c r="L101" s="100">
        <v>50.02</v>
      </c>
      <c r="M101" s="100">
        <v>49.872</v>
      </c>
      <c r="N101" s="100">
        <v>49.926000000000002</v>
      </c>
      <c r="O101" s="100">
        <v>49.972000000000001</v>
      </c>
      <c r="P101" s="100">
        <v>50</v>
      </c>
      <c r="Q101" s="100">
        <v>50</v>
      </c>
      <c r="R101" s="100">
        <v>50.182000000000002</v>
      </c>
      <c r="S101" s="100">
        <v>50.051000000000002</v>
      </c>
      <c r="T101" s="100">
        <v>49.96</v>
      </c>
      <c r="U101" s="100">
        <v>50.03</v>
      </c>
      <c r="V101" s="100">
        <v>49.93</v>
      </c>
      <c r="W101" s="100">
        <v>49.929000000000002</v>
      </c>
      <c r="X101" s="100">
        <v>50</v>
      </c>
      <c r="Y101" s="100">
        <v>50.026000000000003</v>
      </c>
      <c r="Z101" s="100">
        <v>50.073999999999998</v>
      </c>
      <c r="AA101" s="100">
        <v>50.011000000000003</v>
      </c>
      <c r="AB101" s="100">
        <v>50.078000000000003</v>
      </c>
      <c r="AC101" s="100">
        <v>50.042999999999999</v>
      </c>
      <c r="AD101" s="100">
        <v>50.029000000000003</v>
      </c>
      <c r="AE101" s="100">
        <v>50.029000000000003</v>
      </c>
      <c r="AF101" s="100">
        <v>50.051000000000002</v>
      </c>
      <c r="AG101" s="101"/>
      <c r="AH101" s="47">
        <f t="shared" si="9"/>
        <v>50.182000000000002</v>
      </c>
      <c r="AI101" s="48">
        <f t="shared" si="10"/>
        <v>49.872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130.1</v>
      </c>
      <c r="C103" s="64">
        <v>130.19999999999999</v>
      </c>
      <c r="D103" s="64">
        <v>130.6</v>
      </c>
      <c r="E103" s="64">
        <v>131.1</v>
      </c>
      <c r="F103" s="64">
        <v>130.6</v>
      </c>
      <c r="G103" s="64">
        <v>130.9</v>
      </c>
      <c r="H103" s="64">
        <v>130.5</v>
      </c>
      <c r="I103" s="64">
        <v>128.69999999999999</v>
      </c>
      <c r="J103" s="64">
        <v>128.80000000000001</v>
      </c>
      <c r="K103" s="64">
        <v>129.6</v>
      </c>
      <c r="L103" s="64">
        <v>128.1</v>
      </c>
      <c r="M103" s="64">
        <v>127.4</v>
      </c>
      <c r="N103" s="64">
        <v>126.4</v>
      </c>
      <c r="O103" s="64">
        <v>128.69999999999999</v>
      </c>
      <c r="P103" s="64">
        <v>127.6</v>
      </c>
      <c r="Q103" s="64">
        <v>127.6</v>
      </c>
      <c r="R103" s="64">
        <v>127.4</v>
      </c>
      <c r="S103" s="64">
        <v>126.9</v>
      </c>
      <c r="T103" s="64">
        <v>129.80000000000001</v>
      </c>
      <c r="U103" s="64">
        <v>129.80000000000001</v>
      </c>
      <c r="V103" s="64">
        <v>129.30000000000001</v>
      </c>
      <c r="W103" s="64">
        <v>129.69999999999999</v>
      </c>
      <c r="X103" s="64">
        <v>127.7</v>
      </c>
      <c r="Y103" s="64">
        <v>127</v>
      </c>
      <c r="Z103" s="64">
        <v>128.4</v>
      </c>
      <c r="AA103" s="64">
        <v>128.19999999999999</v>
      </c>
      <c r="AB103" s="64">
        <v>128.5</v>
      </c>
      <c r="AC103" s="64">
        <v>128.9</v>
      </c>
      <c r="AD103" s="64">
        <v>129.69999999999999</v>
      </c>
      <c r="AE103" s="64">
        <v>129.30000000000001</v>
      </c>
      <c r="AF103" s="64">
        <v>130.9</v>
      </c>
      <c r="AG103" s="103"/>
      <c r="AH103" s="47">
        <f t="shared" si="9"/>
        <v>131.1</v>
      </c>
      <c r="AI103" s="48">
        <f t="shared" si="10"/>
        <v>126.4</v>
      </c>
    </row>
    <row r="104" spans="1:37" x14ac:dyDescent="0.25">
      <c r="A104" s="102" t="s">
        <v>112</v>
      </c>
      <c r="B104" s="64">
        <v>130</v>
      </c>
      <c r="C104" s="64">
        <v>130.9</v>
      </c>
      <c r="D104" s="64">
        <v>131.69999999999999</v>
      </c>
      <c r="E104" s="64">
        <v>132</v>
      </c>
      <c r="F104" s="64">
        <v>131.9</v>
      </c>
      <c r="G104" s="64">
        <v>131.4</v>
      </c>
      <c r="H104" s="64">
        <v>131.69999999999999</v>
      </c>
      <c r="I104" s="64">
        <v>131.69999999999999</v>
      </c>
      <c r="J104" s="64">
        <v>131.6</v>
      </c>
      <c r="K104" s="64">
        <v>131.6</v>
      </c>
      <c r="L104" s="64">
        <v>131.1</v>
      </c>
      <c r="M104" s="64">
        <v>130.4</v>
      </c>
      <c r="N104" s="64">
        <v>131</v>
      </c>
      <c r="O104" s="64">
        <v>128.80000000000001</v>
      </c>
      <c r="P104" s="64">
        <v>130</v>
      </c>
      <c r="Q104" s="64">
        <v>130</v>
      </c>
      <c r="R104" s="64">
        <v>131.80000000000001</v>
      </c>
      <c r="S104" s="64">
        <v>130.6</v>
      </c>
      <c r="T104" s="64">
        <v>130</v>
      </c>
      <c r="U104" s="64">
        <v>130</v>
      </c>
      <c r="V104" s="64">
        <v>131</v>
      </c>
      <c r="W104" s="64">
        <v>131.30000000000001</v>
      </c>
      <c r="X104" s="64">
        <v>131.4</v>
      </c>
      <c r="Y104" s="64">
        <v>131.80000000000001</v>
      </c>
      <c r="Z104" s="64">
        <v>132.69999999999999</v>
      </c>
      <c r="AA104" s="64">
        <v>130.5</v>
      </c>
      <c r="AB104" s="64">
        <v>130.80000000000001</v>
      </c>
      <c r="AC104" s="64">
        <v>132.19999999999999</v>
      </c>
      <c r="AD104" s="64">
        <v>131.9</v>
      </c>
      <c r="AE104" s="64">
        <v>131.69999999999999</v>
      </c>
      <c r="AF104" s="64">
        <v>130.30000000000001</v>
      </c>
      <c r="AG104" s="103"/>
      <c r="AH104" s="47">
        <f t="shared" si="9"/>
        <v>132.69999999999999</v>
      </c>
      <c r="AI104" s="48">
        <f t="shared" si="10"/>
        <v>128.80000000000001</v>
      </c>
    </row>
    <row r="105" spans="1:37" x14ac:dyDescent="0.25">
      <c r="A105" s="104" t="s">
        <v>113</v>
      </c>
      <c r="B105" s="64">
        <v>133.1</v>
      </c>
      <c r="C105" s="64">
        <v>134.30000000000001</v>
      </c>
      <c r="D105" s="64">
        <v>133.30000000000001</v>
      </c>
      <c r="E105" s="64">
        <v>133.30000000000001</v>
      </c>
      <c r="F105" s="64">
        <v>133.5</v>
      </c>
      <c r="G105" s="64">
        <v>133.4</v>
      </c>
      <c r="H105" s="64">
        <v>133.9</v>
      </c>
      <c r="I105" s="64">
        <v>133.9</v>
      </c>
      <c r="J105" s="64">
        <v>132.30000000000001</v>
      </c>
      <c r="K105" s="64">
        <v>133</v>
      </c>
      <c r="L105" s="64">
        <v>132.5</v>
      </c>
      <c r="M105" s="64">
        <v>130.69999999999999</v>
      </c>
      <c r="N105" s="64">
        <v>131.1</v>
      </c>
      <c r="O105" s="64">
        <v>130.4</v>
      </c>
      <c r="P105" s="64">
        <v>132</v>
      </c>
      <c r="Q105" s="64">
        <v>132</v>
      </c>
      <c r="R105" s="64">
        <v>132.9</v>
      </c>
      <c r="S105" s="64">
        <v>132.4</v>
      </c>
      <c r="T105" s="64">
        <v>131</v>
      </c>
      <c r="U105" s="64">
        <v>131</v>
      </c>
      <c r="V105" s="64">
        <v>131.5</v>
      </c>
      <c r="W105" s="64">
        <v>131.5</v>
      </c>
      <c r="X105" s="64">
        <v>133.30000000000001</v>
      </c>
      <c r="Y105" s="64">
        <v>133.69999999999999</v>
      </c>
      <c r="Z105" s="64">
        <v>135.30000000000001</v>
      </c>
      <c r="AA105" s="64">
        <v>131.6</v>
      </c>
      <c r="AB105" s="64">
        <v>132.5</v>
      </c>
      <c r="AC105" s="64">
        <v>133.6</v>
      </c>
      <c r="AD105" s="64">
        <v>133.9</v>
      </c>
      <c r="AE105" s="64">
        <v>134.1</v>
      </c>
      <c r="AF105" s="64">
        <v>133.19999999999999</v>
      </c>
      <c r="AG105" s="103"/>
      <c r="AH105" s="47">
        <f t="shared" si="9"/>
        <v>135.30000000000001</v>
      </c>
      <c r="AI105" s="48">
        <f t="shared" si="10"/>
        <v>130.4</v>
      </c>
    </row>
    <row r="106" spans="1:37" x14ac:dyDescent="0.25">
      <c r="A106" s="104" t="s">
        <v>114</v>
      </c>
      <c r="B106" s="105">
        <v>133.30000000000001</v>
      </c>
      <c r="C106" s="105">
        <v>133.30000000000001</v>
      </c>
      <c r="D106" s="105">
        <v>131</v>
      </c>
      <c r="E106" s="105">
        <v>133.80000000000001</v>
      </c>
      <c r="F106" s="105">
        <v>132.30000000000001</v>
      </c>
      <c r="G106" s="105">
        <v>132.5</v>
      </c>
      <c r="H106" s="105">
        <v>134</v>
      </c>
      <c r="I106" s="105">
        <v>132.5</v>
      </c>
      <c r="J106" s="105">
        <v>131.69999999999999</v>
      </c>
      <c r="K106" s="105">
        <v>133</v>
      </c>
      <c r="L106" s="105">
        <v>131.19999999999999</v>
      </c>
      <c r="M106" s="105">
        <v>132.1</v>
      </c>
      <c r="N106" s="105">
        <v>131.19999999999999</v>
      </c>
      <c r="O106" s="105">
        <v>132.1</v>
      </c>
      <c r="P106" s="105">
        <v>132</v>
      </c>
      <c r="Q106" s="105">
        <v>132</v>
      </c>
      <c r="R106" s="105">
        <v>132.9</v>
      </c>
      <c r="S106" s="105">
        <v>130.6</v>
      </c>
      <c r="T106" s="105">
        <v>133</v>
      </c>
      <c r="U106" s="105">
        <v>133</v>
      </c>
      <c r="V106" s="105">
        <v>134.5</v>
      </c>
      <c r="W106" s="105">
        <v>135.80000000000001</v>
      </c>
      <c r="X106" s="105">
        <v>134</v>
      </c>
      <c r="Y106" s="105">
        <v>132.4</v>
      </c>
      <c r="Z106" s="105">
        <v>134.6</v>
      </c>
      <c r="AA106" s="105">
        <v>132</v>
      </c>
      <c r="AB106" s="105">
        <v>132.1</v>
      </c>
      <c r="AC106" s="105">
        <v>131.6</v>
      </c>
      <c r="AD106" s="105">
        <v>133.9</v>
      </c>
      <c r="AE106" s="105">
        <v>133.19999999999999</v>
      </c>
      <c r="AF106" s="105">
        <v>133.6</v>
      </c>
      <c r="AG106" s="106"/>
      <c r="AH106" s="47">
        <f t="shared" si="9"/>
        <v>135.80000000000001</v>
      </c>
      <c r="AI106" s="48">
        <f t="shared" si="10"/>
        <v>130.6</v>
      </c>
    </row>
    <row r="107" spans="1:37" x14ac:dyDescent="0.25">
      <c r="A107" s="102" t="s">
        <v>115</v>
      </c>
      <c r="B107" s="64">
        <v>133.30000000000001</v>
      </c>
      <c r="C107" s="64">
        <v>134.1</v>
      </c>
      <c r="D107" s="64">
        <v>132.30000000000001</v>
      </c>
      <c r="E107" s="64">
        <v>134</v>
      </c>
      <c r="F107" s="64">
        <v>131.4</v>
      </c>
      <c r="G107" s="64">
        <v>128.69999999999999</v>
      </c>
      <c r="H107" s="64">
        <v>133.69999999999999</v>
      </c>
      <c r="I107" s="64">
        <v>131.1</v>
      </c>
      <c r="J107" s="64">
        <v>130.30000000000001</v>
      </c>
      <c r="K107" s="64">
        <v>132</v>
      </c>
      <c r="L107" s="64">
        <v>128.9</v>
      </c>
      <c r="M107" s="64">
        <v>130.6</v>
      </c>
      <c r="N107" s="64">
        <v>128.69999999999999</v>
      </c>
      <c r="O107" s="64">
        <v>131</v>
      </c>
      <c r="P107" s="64">
        <v>128.69999999999999</v>
      </c>
      <c r="Q107" s="64">
        <v>128.69999999999999</v>
      </c>
      <c r="R107" s="64">
        <v>131.69999999999999</v>
      </c>
      <c r="S107" s="64">
        <v>128.5</v>
      </c>
      <c r="T107" s="64">
        <v>131</v>
      </c>
      <c r="U107" s="64">
        <v>131</v>
      </c>
      <c r="V107" s="64">
        <v>132.19999999999999</v>
      </c>
      <c r="W107" s="64">
        <v>136.30000000000001</v>
      </c>
      <c r="X107" s="64">
        <v>134.19999999999999</v>
      </c>
      <c r="Y107" s="64">
        <v>132.19999999999999</v>
      </c>
      <c r="Z107" s="64">
        <v>138.1</v>
      </c>
      <c r="AA107" s="64">
        <v>132.1</v>
      </c>
      <c r="AB107" s="64">
        <v>135.69999999999999</v>
      </c>
      <c r="AC107" s="64">
        <v>135.5</v>
      </c>
      <c r="AD107" s="64">
        <v>136</v>
      </c>
      <c r="AE107" s="64">
        <v>136.5</v>
      </c>
      <c r="AF107" s="64">
        <v>134.80000000000001</v>
      </c>
      <c r="AG107" s="103"/>
      <c r="AH107" s="47">
        <f t="shared" si="9"/>
        <v>138.1</v>
      </c>
      <c r="AI107" s="48">
        <f t="shared" si="10"/>
        <v>128.5</v>
      </c>
    </row>
    <row r="108" spans="1:37" ht="15.75" thickBot="1" x14ac:dyDescent="0.3">
      <c r="A108" s="102" t="s">
        <v>116</v>
      </c>
      <c r="B108" s="91">
        <v>65.400000000000006</v>
      </c>
      <c r="C108" s="91">
        <v>65.400000000000006</v>
      </c>
      <c r="D108" s="91">
        <v>65.7</v>
      </c>
      <c r="E108" s="91">
        <v>66</v>
      </c>
      <c r="F108" s="91">
        <v>65.8</v>
      </c>
      <c r="G108" s="91">
        <v>65.7</v>
      </c>
      <c r="H108" s="91">
        <v>65.8</v>
      </c>
      <c r="I108" s="91">
        <v>64.599999999999994</v>
      </c>
      <c r="J108" s="91">
        <v>64.8</v>
      </c>
      <c r="K108" s="91">
        <v>65.2</v>
      </c>
      <c r="L108" s="91">
        <v>64.5</v>
      </c>
      <c r="M108" s="91">
        <v>64</v>
      </c>
      <c r="N108" s="91">
        <v>63.3</v>
      </c>
      <c r="O108" s="91">
        <v>64.7</v>
      </c>
      <c r="P108" s="91">
        <v>64.400000000000006</v>
      </c>
      <c r="Q108" s="91">
        <v>64.400000000000006</v>
      </c>
      <c r="R108" s="91">
        <v>64.099999999999994</v>
      </c>
      <c r="S108" s="91">
        <v>63.9</v>
      </c>
      <c r="T108" s="91">
        <v>65.400000000000006</v>
      </c>
      <c r="U108" s="91">
        <v>65.400000000000006</v>
      </c>
      <c r="V108" s="91">
        <v>64.8</v>
      </c>
      <c r="W108" s="91">
        <v>65</v>
      </c>
      <c r="X108" s="91">
        <v>64</v>
      </c>
      <c r="Y108" s="91">
        <v>63.9</v>
      </c>
      <c r="Z108" s="91">
        <v>64.599999999999994</v>
      </c>
      <c r="AA108" s="91">
        <v>64.8</v>
      </c>
      <c r="AB108" s="91">
        <v>64.8</v>
      </c>
      <c r="AC108" s="91">
        <v>65</v>
      </c>
      <c r="AD108" s="91">
        <v>65.5</v>
      </c>
      <c r="AE108" s="91">
        <v>65.3</v>
      </c>
      <c r="AF108" s="91">
        <v>66</v>
      </c>
      <c r="AG108" s="107"/>
      <c r="AH108" s="47">
        <f t="shared" si="9"/>
        <v>66</v>
      </c>
      <c r="AI108" s="48">
        <f t="shared" si="10"/>
        <v>63.3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>SUM(B20,B26,B29:B30,B58,B60:B61,B63,B65,B111:B115,B138,B144,B150,B159,B161,B173,B180,B183:B184,B191,B193,B195,B199:B201,B203:B205,B210,B216:B217,B219:B221,B229,B234)</f>
        <v>55.399999999999977</v>
      </c>
      <c r="C110" s="110">
        <f>SUM(C20,C26,C29:C30,C58,C60:C61,C63,C65,C111:C115,C138,C144,C150,C159,C161,C173,C180,C183:C184,C191,C193,C195,C199:C201,C203:C205,C210,C216:C217,C219:C221,C229,C234)</f>
        <v>48.539999999999992</v>
      </c>
      <c r="D110" s="110">
        <f t="shared" ref="D110:O110" si="17">SUM(D20,D26,D29:D30,D58,D60:D61,D63,D65,D111:D115,D138,D144,D150,D159,D161,D173,D180,D183:D184,D191,D193,D195,D199:D201,D203:D205,D210,D216:D217,D219:D221,D229,D234)</f>
        <v>52.740000000000023</v>
      </c>
      <c r="E110" s="110">
        <f t="shared" si="17"/>
        <v>42.639999999999958</v>
      </c>
      <c r="F110" s="110">
        <f t="shared" si="17"/>
        <v>33.040000000000006</v>
      </c>
      <c r="G110" s="110">
        <f t="shared" si="17"/>
        <v>56.639999999999972</v>
      </c>
      <c r="H110" s="110">
        <f t="shared" si="17"/>
        <v>78.739999999999981</v>
      </c>
      <c r="I110" s="110">
        <f t="shared" si="17"/>
        <v>86.539999999999964</v>
      </c>
      <c r="J110" s="110">
        <f t="shared" si="17"/>
        <v>146.23999999999998</v>
      </c>
      <c r="K110" s="110">
        <f t="shared" si="17"/>
        <v>141.34</v>
      </c>
      <c r="L110" s="110">
        <f t="shared" si="17"/>
        <v>146.54</v>
      </c>
      <c r="M110" s="110">
        <f t="shared" si="17"/>
        <v>168.74</v>
      </c>
      <c r="N110" s="110">
        <f t="shared" si="17"/>
        <v>177.94</v>
      </c>
      <c r="O110" s="110">
        <f t="shared" si="17"/>
        <v>155.03999999999996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132.19999999999999</v>
      </c>
      <c r="R110" s="110">
        <f t="shared" si="18"/>
        <v>155.79999999999998</v>
      </c>
      <c r="S110" s="110">
        <f t="shared" si="18"/>
        <v>136.49999999999997</v>
      </c>
      <c r="T110" s="110">
        <f>SUM(T20,T26,T29:T30,T58,T60:T61,T63,T65,T111:T115,T138,T144,T150,T159,T161,T173,T180,T183:T184,T191,T193,T195,T199:T201,T203:T205,T210,T216:T217,T219:T221,T229,T234)</f>
        <v>149.19999999999999</v>
      </c>
      <c r="U110" s="110">
        <f>SUM(U20,U26,U29:U30,U58,U60:U61,U63,U65,U111:U115,U138,U144,U150,U159,U161,U173,U180,U183:U184,U191,U193,U195,U199:U201,U203:U205,U210,U216:U217,U219:U221,U229,U234)</f>
        <v>146.6</v>
      </c>
      <c r="V110" s="110">
        <f t="shared" si="18"/>
        <v>144.89999999999998</v>
      </c>
      <c r="W110" s="110">
        <f t="shared" si="18"/>
        <v>164.29999999999998</v>
      </c>
      <c r="X110" s="110">
        <f t="shared" si="18"/>
        <v>196.99999999999997</v>
      </c>
      <c r="Y110" s="110">
        <f t="shared" si="18"/>
        <v>266.7</v>
      </c>
      <c r="Z110" s="110">
        <f t="shared" si="18"/>
        <v>243.4</v>
      </c>
      <c r="AA110" s="110">
        <f t="shared" si="18"/>
        <v>227.7</v>
      </c>
      <c r="AB110" s="110">
        <f t="shared" si="18"/>
        <v>197.40000000000003</v>
      </c>
      <c r="AC110" s="110">
        <f t="shared" si="18"/>
        <v>157.29999999999998</v>
      </c>
      <c r="AD110" s="110"/>
      <c r="AE110" s="110">
        <f t="shared" si="18"/>
        <v>78</v>
      </c>
      <c r="AF110" s="110">
        <f t="shared" si="18"/>
        <v>67.900000000000006</v>
      </c>
      <c r="AG110" s="111"/>
      <c r="AH110" s="47">
        <f t="shared" si="9"/>
        <v>266.7</v>
      </c>
      <c r="AI110" s="48">
        <f t="shared" si="10"/>
        <v>33.040000000000006</v>
      </c>
    </row>
    <row r="111" spans="1:37" x14ac:dyDescent="0.25">
      <c r="A111" s="99" t="s">
        <v>119</v>
      </c>
      <c r="B111" s="112">
        <v>8</v>
      </c>
      <c r="C111" s="112">
        <v>11.7</v>
      </c>
      <c r="D111" s="112">
        <v>12.3</v>
      </c>
      <c r="E111" s="112">
        <v>9.1</v>
      </c>
      <c r="F111" s="112">
        <v>12</v>
      </c>
      <c r="G111" s="112">
        <v>10.6</v>
      </c>
      <c r="H111" s="112">
        <v>17.8</v>
      </c>
      <c r="I111" s="112">
        <v>19.5</v>
      </c>
      <c r="J111" s="112">
        <v>23.9</v>
      </c>
      <c r="K111" s="112">
        <v>23.8</v>
      </c>
      <c r="L111" s="112">
        <v>24.2</v>
      </c>
      <c r="M111" s="112">
        <v>23.8</v>
      </c>
      <c r="N111" s="112">
        <v>23.6</v>
      </c>
      <c r="O111" s="112">
        <v>30.2</v>
      </c>
      <c r="P111" s="112">
        <v>28.2</v>
      </c>
      <c r="Q111" s="112">
        <v>28.2</v>
      </c>
      <c r="R111" s="112">
        <v>34.5</v>
      </c>
      <c r="S111" s="112">
        <v>33.9</v>
      </c>
      <c r="T111" s="112">
        <v>28</v>
      </c>
      <c r="U111" s="112">
        <v>32</v>
      </c>
      <c r="V111" s="112">
        <v>28.2</v>
      </c>
      <c r="W111" s="112">
        <v>32.299999999999997</v>
      </c>
      <c r="X111" s="112">
        <v>32.6</v>
      </c>
      <c r="Y111" s="112">
        <v>39.1</v>
      </c>
      <c r="Z111" s="112">
        <v>45.1</v>
      </c>
      <c r="AA111" s="112">
        <v>42.9</v>
      </c>
      <c r="AB111" s="112">
        <v>42.7</v>
      </c>
      <c r="AC111" s="112">
        <v>29.4</v>
      </c>
      <c r="AD111" s="112">
        <v>18.899999999999999</v>
      </c>
      <c r="AE111" s="112">
        <v>16.7</v>
      </c>
      <c r="AF111" s="112">
        <v>14.3</v>
      </c>
      <c r="AG111" s="113">
        <v>75</v>
      </c>
      <c r="AH111" s="47">
        <f t="shared" si="9"/>
        <v>45.1</v>
      </c>
      <c r="AI111" s="48">
        <f t="shared" si="10"/>
        <v>8</v>
      </c>
    </row>
    <row r="112" spans="1:37" x14ac:dyDescent="0.25">
      <c r="A112" s="102" t="s">
        <v>120</v>
      </c>
      <c r="B112" s="114">
        <v>14.7</v>
      </c>
      <c r="C112" s="114">
        <v>21</v>
      </c>
      <c r="D112" s="114">
        <v>22.4</v>
      </c>
      <c r="E112" s="114">
        <v>17.2</v>
      </c>
      <c r="F112" s="114">
        <v>19.3</v>
      </c>
      <c r="G112" s="114">
        <v>18.2</v>
      </c>
      <c r="H112" s="114">
        <v>28.7</v>
      </c>
      <c r="I112" s="114">
        <v>29.7</v>
      </c>
      <c r="J112" s="114">
        <v>32.1</v>
      </c>
      <c r="K112" s="114">
        <v>31</v>
      </c>
      <c r="L112" s="114">
        <v>33.4</v>
      </c>
      <c r="M112" s="114">
        <v>30.5</v>
      </c>
      <c r="N112" s="114">
        <v>28.4</v>
      </c>
      <c r="O112" s="114">
        <v>38.799999999999997</v>
      </c>
      <c r="P112" s="114">
        <v>35.1</v>
      </c>
      <c r="Q112" s="114">
        <v>35.1</v>
      </c>
      <c r="R112" s="114">
        <v>45.8</v>
      </c>
      <c r="S112" s="114">
        <v>45.7</v>
      </c>
      <c r="T112" s="114">
        <v>36</v>
      </c>
      <c r="U112" s="114">
        <v>40</v>
      </c>
      <c r="V112" s="114">
        <v>34.799999999999997</v>
      </c>
      <c r="W112" s="114">
        <v>39.9</v>
      </c>
      <c r="X112" s="114">
        <v>40.700000000000003</v>
      </c>
      <c r="Y112" s="114">
        <v>50.4</v>
      </c>
      <c r="Z112" s="114">
        <v>62.2</v>
      </c>
      <c r="AA112" s="114">
        <v>58.6</v>
      </c>
      <c r="AB112" s="114">
        <v>59.1</v>
      </c>
      <c r="AC112" s="114">
        <v>37.700000000000003</v>
      </c>
      <c r="AD112" s="114">
        <v>23</v>
      </c>
      <c r="AE112" s="114">
        <v>20.399999999999999</v>
      </c>
      <c r="AF112" s="114">
        <v>18.5</v>
      </c>
      <c r="AG112" s="113">
        <v>240</v>
      </c>
      <c r="AH112" s="47">
        <f t="shared" si="9"/>
        <v>62.2</v>
      </c>
      <c r="AI112" s="48">
        <f t="shared" si="10"/>
        <v>14.7</v>
      </c>
    </row>
    <row r="113" spans="1:37" x14ac:dyDescent="0.25">
      <c r="A113" s="102" t="s">
        <v>121</v>
      </c>
      <c r="B113" s="114">
        <f>-69.5-72.7</f>
        <v>-142.19999999999999</v>
      </c>
      <c r="C113" s="114">
        <f>-75.7-79.5</f>
        <v>-155.19999999999999</v>
      </c>
      <c r="D113" s="114">
        <f>-77.8-73.8</f>
        <v>-151.6</v>
      </c>
      <c r="E113" s="114">
        <f>-71-74</f>
        <v>-145</v>
      </c>
      <c r="F113" s="114">
        <f>-75-79</f>
        <v>-154</v>
      </c>
      <c r="G113" s="114">
        <f>-62-66</f>
        <v>-128</v>
      </c>
      <c r="H113" s="114">
        <f>-63-68</f>
        <v>-131</v>
      </c>
      <c r="I113" s="114">
        <f>-62-65</f>
        <v>-127</v>
      </c>
      <c r="J113" s="114">
        <f>-45-50</f>
        <v>-95</v>
      </c>
      <c r="K113" s="114">
        <f>-49-51</f>
        <v>-100</v>
      </c>
      <c r="L113" s="114">
        <f>-48-51</f>
        <v>-99</v>
      </c>
      <c r="M113" s="114">
        <v>-76</v>
      </c>
      <c r="N113" s="114">
        <v>-64</v>
      </c>
      <c r="O113" s="114">
        <v>-99</v>
      </c>
      <c r="P113" s="114">
        <v>-85.8</v>
      </c>
      <c r="Q113" s="114">
        <v>-85.8</v>
      </c>
      <c r="R113" s="114">
        <v>-84</v>
      </c>
      <c r="S113" s="114">
        <v>-88</v>
      </c>
      <c r="T113" s="114">
        <v>-96</v>
      </c>
      <c r="U113" s="114">
        <v>-100</v>
      </c>
      <c r="V113" s="114">
        <v>-90</v>
      </c>
      <c r="W113" s="114">
        <v>-81</v>
      </c>
      <c r="X113" s="114">
        <v>-58</v>
      </c>
      <c r="Y113" s="114">
        <v>-60</v>
      </c>
      <c r="Z113" s="114">
        <v>-72</v>
      </c>
      <c r="AA113" s="114">
        <v>-80</v>
      </c>
      <c r="AB113" s="114">
        <f>-51.8-56.2</f>
        <v>-108</v>
      </c>
      <c r="AC113" s="114">
        <v>-101</v>
      </c>
      <c r="AD113" s="114">
        <v>-106</v>
      </c>
      <c r="AE113" s="114">
        <v>-132</v>
      </c>
      <c r="AF113" s="114">
        <v>-112</v>
      </c>
      <c r="AG113" s="113">
        <v>240</v>
      </c>
      <c r="AH113" s="47">
        <f t="shared" si="9"/>
        <v>-58</v>
      </c>
      <c r="AI113" s="48">
        <f t="shared" si="10"/>
        <v>-155.19999999999999</v>
      </c>
    </row>
    <row r="114" spans="1:37" x14ac:dyDescent="0.25">
      <c r="A114" s="102" t="s">
        <v>122</v>
      </c>
      <c r="B114" s="114">
        <v>-9.1999999999999993</v>
      </c>
      <c r="C114" s="114">
        <v>-11.2</v>
      </c>
      <c r="D114" s="114">
        <v>-10.5</v>
      </c>
      <c r="E114" s="114">
        <v>-10.5</v>
      </c>
      <c r="F114" s="114">
        <v>-10.4</v>
      </c>
      <c r="G114" s="114">
        <v>-7.2</v>
      </c>
      <c r="H114" s="114">
        <v>-6.5</v>
      </c>
      <c r="I114" s="114">
        <v>-2.2000000000000002</v>
      </c>
      <c r="J114" s="114">
        <v>3.5</v>
      </c>
      <c r="K114" s="114">
        <v>4.7</v>
      </c>
      <c r="L114" s="114">
        <v>4.0999999999999996</v>
      </c>
      <c r="M114" s="114">
        <v>6.9</v>
      </c>
      <c r="N114" s="114">
        <v>8.4</v>
      </c>
      <c r="O114" s="114">
        <v>3.7</v>
      </c>
      <c r="P114" s="114">
        <v>5.0999999999999996</v>
      </c>
      <c r="Q114" s="114">
        <v>5.0999999999999996</v>
      </c>
      <c r="R114" s="114">
        <v>-3</v>
      </c>
      <c r="S114" s="114">
        <v>2.5</v>
      </c>
      <c r="T114" s="114">
        <v>5.5</v>
      </c>
      <c r="U114" s="114">
        <v>5</v>
      </c>
      <c r="V114" s="114">
        <v>8.6</v>
      </c>
      <c r="W114" s="114">
        <v>12.2</v>
      </c>
      <c r="X114" s="114">
        <v>16.899999999999999</v>
      </c>
      <c r="Y114" s="114">
        <v>18.8</v>
      </c>
      <c r="Z114" s="114">
        <v>16.100000000000001</v>
      </c>
      <c r="AA114" s="114">
        <v>12.9</v>
      </c>
      <c r="AB114" s="114">
        <v>9.4</v>
      </c>
      <c r="AC114" s="114">
        <v>10</v>
      </c>
      <c r="AD114" s="114">
        <v>8</v>
      </c>
      <c r="AE114" s="114">
        <v>-4.3</v>
      </c>
      <c r="AF114" s="114">
        <v>-4</v>
      </c>
      <c r="AG114" s="113">
        <v>60</v>
      </c>
      <c r="AH114" s="47">
        <f t="shared" si="9"/>
        <v>18.8</v>
      </c>
      <c r="AI114" s="48">
        <f t="shared" si="10"/>
        <v>-11.2</v>
      </c>
    </row>
    <row r="115" spans="1:37" x14ac:dyDescent="0.25">
      <c r="A115" s="115" t="s">
        <v>123</v>
      </c>
      <c r="B115" s="116">
        <v>30.1</v>
      </c>
      <c r="C115" s="116">
        <v>21.2</v>
      </c>
      <c r="D115" s="116">
        <v>20.3</v>
      </c>
      <c r="E115" s="116">
        <v>19.5</v>
      </c>
      <c r="F115" s="116">
        <v>19.600000000000001</v>
      </c>
      <c r="G115" s="116">
        <v>19</v>
      </c>
      <c r="H115" s="116">
        <v>21.5</v>
      </c>
      <c r="I115" s="116">
        <v>17.899999999999999</v>
      </c>
      <c r="J115" s="116">
        <v>20.6</v>
      </c>
      <c r="K115" s="116">
        <v>20.6</v>
      </c>
      <c r="L115" s="116">
        <v>21</v>
      </c>
      <c r="M115" s="116">
        <v>20.7</v>
      </c>
      <c r="N115" s="116">
        <v>23.7</v>
      </c>
      <c r="O115" s="116">
        <v>23.5</v>
      </c>
      <c r="P115" s="116">
        <v>24.2</v>
      </c>
      <c r="Q115" s="116">
        <v>24.2</v>
      </c>
      <c r="R115" s="116">
        <v>32.1</v>
      </c>
      <c r="S115" s="116">
        <v>32.1</v>
      </c>
      <c r="T115" s="116">
        <v>32.1</v>
      </c>
      <c r="U115" s="116">
        <v>26</v>
      </c>
      <c r="V115" s="116">
        <v>25.6</v>
      </c>
      <c r="W115" s="116">
        <v>24.8</v>
      </c>
      <c r="X115" s="116">
        <v>28.7</v>
      </c>
      <c r="Y115" s="116">
        <v>37.299999999999997</v>
      </c>
      <c r="Z115" s="116">
        <v>36</v>
      </c>
      <c r="AA115" s="116">
        <v>36.299999999999997</v>
      </c>
      <c r="AB115" s="116">
        <v>37.200000000000003</v>
      </c>
      <c r="AC115" s="116">
        <v>25.1</v>
      </c>
      <c r="AD115" s="116">
        <v>26</v>
      </c>
      <c r="AE115" s="116">
        <v>26.1</v>
      </c>
      <c r="AF115" s="116">
        <v>0</v>
      </c>
      <c r="AG115" s="117">
        <v>120</v>
      </c>
      <c r="AH115" s="47">
        <f t="shared" si="9"/>
        <v>37.299999999999997</v>
      </c>
      <c r="AI115" s="48">
        <f t="shared" si="10"/>
        <v>0</v>
      </c>
    </row>
    <row r="116" spans="1:37" x14ac:dyDescent="0.25">
      <c r="A116" s="115" t="s">
        <v>124</v>
      </c>
      <c r="B116" s="116">
        <v>78.5</v>
      </c>
      <c r="C116" s="116">
        <v>32.5</v>
      </c>
      <c r="D116" s="116">
        <v>25.9</v>
      </c>
      <c r="E116" s="116">
        <v>23.2</v>
      </c>
      <c r="F116" s="116">
        <v>-2.5</v>
      </c>
      <c r="G116" s="116">
        <v>4.2</v>
      </c>
      <c r="H116" s="116">
        <v>7.3</v>
      </c>
      <c r="I116" s="116">
        <v>21.5</v>
      </c>
      <c r="J116" s="116">
        <v>18.899999999999999</v>
      </c>
      <c r="K116" s="116">
        <v>12.6</v>
      </c>
      <c r="L116" s="116">
        <v>16.8</v>
      </c>
      <c r="M116" s="116">
        <v>59.1</v>
      </c>
      <c r="N116" s="116">
        <v>85.6</v>
      </c>
      <c r="O116" s="116">
        <v>12.2</v>
      </c>
      <c r="P116" s="116">
        <v>40.299999999999997</v>
      </c>
      <c r="Q116" s="116">
        <v>40.299999999999997</v>
      </c>
      <c r="R116" s="116">
        <v>51</v>
      </c>
      <c r="S116" s="116">
        <v>35.6</v>
      </c>
      <c r="T116" s="116">
        <v>35.6</v>
      </c>
      <c r="U116" s="116">
        <v>-5</v>
      </c>
      <c r="V116" s="116">
        <v>16.5</v>
      </c>
      <c r="W116" s="116">
        <v>12.5</v>
      </c>
      <c r="X116" s="116">
        <v>88.9</v>
      </c>
      <c r="Y116" s="116">
        <v>84.6</v>
      </c>
      <c r="Z116" s="116">
        <v>52.7</v>
      </c>
      <c r="AA116" s="116">
        <v>26.5</v>
      </c>
      <c r="AB116" s="116">
        <v>-5.0999999999999996</v>
      </c>
      <c r="AC116" s="116">
        <v>30</v>
      </c>
      <c r="AD116" s="116">
        <v>43.2</v>
      </c>
      <c r="AE116" s="116">
        <v>19.3</v>
      </c>
      <c r="AF116" s="116">
        <v>47.4</v>
      </c>
      <c r="AG116" s="117"/>
      <c r="AH116" s="47">
        <f t="shared" si="9"/>
        <v>88.9</v>
      </c>
      <c r="AI116" s="48">
        <f t="shared" si="10"/>
        <v>-5.0999999999999996</v>
      </c>
    </row>
    <row r="117" spans="1:37" x14ac:dyDescent="0.25">
      <c r="A117" s="115" t="s">
        <v>125</v>
      </c>
      <c r="B117" s="116">
        <v>16.5</v>
      </c>
      <c r="C117" s="116">
        <v>16.2</v>
      </c>
      <c r="D117" s="116">
        <v>14.2</v>
      </c>
      <c r="E117" s="116">
        <v>19.600000000000001</v>
      </c>
      <c r="F117" s="116">
        <v>5.4</v>
      </c>
      <c r="G117" s="116">
        <v>12.4</v>
      </c>
      <c r="H117" s="116">
        <v>4.4000000000000004</v>
      </c>
      <c r="I117" s="116">
        <v>2.2000000000000002</v>
      </c>
      <c r="J117" s="116">
        <v>8.1</v>
      </c>
      <c r="K117" s="116">
        <v>3.3</v>
      </c>
      <c r="L117" s="116">
        <v>3.2</v>
      </c>
      <c r="M117" s="116">
        <v>11.9</v>
      </c>
      <c r="N117" s="116">
        <v>9</v>
      </c>
      <c r="O117" s="116">
        <v>1.3</v>
      </c>
      <c r="P117" s="116">
        <v>-7.9</v>
      </c>
      <c r="Q117" s="116">
        <v>-7.9</v>
      </c>
      <c r="R117" s="116">
        <v>-14</v>
      </c>
      <c r="S117" s="116">
        <v>-13.9</v>
      </c>
      <c r="T117" s="116">
        <v>-13.9</v>
      </c>
      <c r="U117" s="116">
        <v>-16</v>
      </c>
      <c r="V117" s="116">
        <v>-8.5</v>
      </c>
      <c r="W117" s="116">
        <v>-15.6</v>
      </c>
      <c r="X117" s="116">
        <v>1.1000000000000001</v>
      </c>
      <c r="Y117" s="116">
        <v>0</v>
      </c>
      <c r="Z117" s="116">
        <v>-13.1</v>
      </c>
      <c r="AA117" s="116">
        <v>-18.399999999999999</v>
      </c>
      <c r="AB117" s="116">
        <v>-20.2</v>
      </c>
      <c r="AC117" s="116">
        <v>-13.5</v>
      </c>
      <c r="AD117" s="116">
        <v>5</v>
      </c>
      <c r="AE117" s="116">
        <v>2.8</v>
      </c>
      <c r="AF117" s="116">
        <v>9.6</v>
      </c>
      <c r="AG117" s="118"/>
      <c r="AH117" s="47">
        <f t="shared" si="9"/>
        <v>19.600000000000001</v>
      </c>
      <c r="AI117" s="48">
        <f t="shared" si="10"/>
        <v>-20.2</v>
      </c>
    </row>
    <row r="118" spans="1:37" x14ac:dyDescent="0.25">
      <c r="A118" s="119" t="s">
        <v>126</v>
      </c>
      <c r="B118" s="105">
        <v>69</v>
      </c>
      <c r="C118" s="105">
        <v>69</v>
      </c>
      <c r="D118" s="105">
        <v>70</v>
      </c>
      <c r="E118" s="105">
        <v>69</v>
      </c>
      <c r="F118" s="105"/>
      <c r="G118" s="105"/>
      <c r="H118" s="105"/>
      <c r="I118" s="105"/>
      <c r="J118" s="105"/>
      <c r="K118" s="105"/>
      <c r="L118" s="105"/>
      <c r="M118" s="105"/>
      <c r="N118" s="105"/>
      <c r="O118" s="105">
        <v>81</v>
      </c>
      <c r="P118" s="105">
        <v>81.5</v>
      </c>
      <c r="Q118" s="105">
        <v>81.5</v>
      </c>
      <c r="R118" s="105">
        <v>88.6</v>
      </c>
      <c r="S118" s="105">
        <v>90.2</v>
      </c>
      <c r="T118" s="105">
        <v>90.2</v>
      </c>
      <c r="U118" s="105">
        <v>86</v>
      </c>
      <c r="V118" s="105">
        <v>73.599999999999994</v>
      </c>
      <c r="W118" s="105">
        <v>75.3</v>
      </c>
      <c r="X118" s="105">
        <v>67.400000000000006</v>
      </c>
      <c r="Y118" s="105">
        <v>68.7</v>
      </c>
      <c r="Z118" s="105">
        <v>77.7</v>
      </c>
      <c r="AA118" s="105">
        <v>77.400000000000006</v>
      </c>
      <c r="AB118" s="105">
        <v>82</v>
      </c>
      <c r="AC118" s="105">
        <v>84.3</v>
      </c>
      <c r="AD118" s="105">
        <v>87</v>
      </c>
      <c r="AE118" s="105">
        <v>92.8</v>
      </c>
      <c r="AF118" s="105">
        <v>95.6</v>
      </c>
      <c r="AG118" s="118"/>
      <c r="AH118" s="47">
        <f t="shared" si="9"/>
        <v>95.6</v>
      </c>
      <c r="AI118" s="48">
        <f t="shared" si="10"/>
        <v>67.400000000000006</v>
      </c>
    </row>
    <row r="119" spans="1:37" x14ac:dyDescent="0.25">
      <c r="A119" s="120" t="s">
        <v>127</v>
      </c>
      <c r="B119" s="105">
        <v>70.5</v>
      </c>
      <c r="C119" s="105">
        <v>71.400000000000006</v>
      </c>
      <c r="D119" s="105">
        <v>56.1</v>
      </c>
      <c r="E119" s="105">
        <v>64</v>
      </c>
      <c r="F119" s="105">
        <v>76.400000000000006</v>
      </c>
      <c r="G119" s="105">
        <v>62</v>
      </c>
      <c r="H119" s="105">
        <v>65.400000000000006</v>
      </c>
      <c r="I119" s="105">
        <v>65</v>
      </c>
      <c r="J119" s="105">
        <v>51.1</v>
      </c>
      <c r="K119" s="105">
        <v>54</v>
      </c>
      <c r="L119" s="105">
        <v>56.5</v>
      </c>
      <c r="M119" s="105">
        <v>35.9</v>
      </c>
      <c r="N119" s="105">
        <v>23.8</v>
      </c>
      <c r="O119" s="105">
        <v>54</v>
      </c>
      <c r="P119" s="105">
        <v>43.5</v>
      </c>
      <c r="Q119" s="105">
        <v>43.5</v>
      </c>
      <c r="R119" s="105">
        <v>48</v>
      </c>
      <c r="S119" s="105">
        <v>51</v>
      </c>
      <c r="T119" s="105">
        <v>51</v>
      </c>
      <c r="U119" s="105">
        <v>64</v>
      </c>
      <c r="V119" s="105">
        <v>52.8</v>
      </c>
      <c r="W119" s="105">
        <v>53.7</v>
      </c>
      <c r="X119" s="105">
        <v>31</v>
      </c>
      <c r="Y119" s="105">
        <v>34.9</v>
      </c>
      <c r="Z119" s="105">
        <v>48.3</v>
      </c>
      <c r="AA119" s="105">
        <v>59.1</v>
      </c>
      <c r="AB119" s="105">
        <v>79.400000000000006</v>
      </c>
      <c r="AC119" s="105">
        <v>61</v>
      </c>
      <c r="AD119" s="105">
        <v>54</v>
      </c>
      <c r="AE119" s="105">
        <v>68</v>
      </c>
      <c r="AF119" s="105">
        <v>57.2</v>
      </c>
      <c r="AG119" s="118"/>
      <c r="AH119" s="47">
        <f t="shared" si="9"/>
        <v>79.400000000000006</v>
      </c>
      <c r="AI119" s="48">
        <f t="shared" si="10"/>
        <v>23.8</v>
      </c>
    </row>
    <row r="120" spans="1:37" ht="15.75" thickBot="1" x14ac:dyDescent="0.3">
      <c r="A120" s="119" t="s">
        <v>128</v>
      </c>
      <c r="B120" s="105">
        <v>-29</v>
      </c>
      <c r="C120" s="105">
        <v>-39.6</v>
      </c>
      <c r="D120" s="105">
        <v>-40.5</v>
      </c>
      <c r="E120" s="105">
        <v>-32.200000000000003</v>
      </c>
      <c r="F120" s="105">
        <v>-38.9</v>
      </c>
      <c r="G120" s="105">
        <v>-38</v>
      </c>
      <c r="H120" s="105">
        <v>37.299999999999997</v>
      </c>
      <c r="I120" s="105">
        <v>-40</v>
      </c>
      <c r="J120" s="105">
        <v>-49.3</v>
      </c>
      <c r="K120" s="105">
        <v>-46.5</v>
      </c>
      <c r="L120" s="105">
        <v>45</v>
      </c>
      <c r="M120" s="105">
        <v>-36.1</v>
      </c>
      <c r="N120" s="105">
        <v>-31.1</v>
      </c>
      <c r="O120" s="105">
        <v>-39</v>
      </c>
      <c r="P120" s="105">
        <v>-51</v>
      </c>
      <c r="Q120" s="105">
        <v>-51</v>
      </c>
      <c r="R120" s="105">
        <v>-60</v>
      </c>
      <c r="S120" s="105">
        <v>-63</v>
      </c>
      <c r="T120" s="105">
        <v>-63</v>
      </c>
      <c r="U120" s="105">
        <v>-56</v>
      </c>
      <c r="V120" s="105">
        <v>-53.5</v>
      </c>
      <c r="W120" s="105">
        <v>-56.7</v>
      </c>
      <c r="X120" s="105">
        <v>-33.6</v>
      </c>
      <c r="Y120" s="105">
        <v>-38.700000000000003</v>
      </c>
      <c r="Z120" s="105">
        <v>-42</v>
      </c>
      <c r="AA120" s="105">
        <v>-43.1</v>
      </c>
      <c r="AB120" s="105">
        <v>-50</v>
      </c>
      <c r="AC120" s="105">
        <v>-51</v>
      </c>
      <c r="AD120" s="105">
        <v>-53</v>
      </c>
      <c r="AE120" s="105">
        <v>-59</v>
      </c>
      <c r="AF120" s="105">
        <v>-57</v>
      </c>
      <c r="AG120" s="118"/>
      <c r="AH120" s="47">
        <f t="shared" si="9"/>
        <v>45</v>
      </c>
      <c r="AI120" s="48">
        <f t="shared" si="10"/>
        <v>-63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2039.74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06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2080/05/6)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2080/05/6)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2022.24</v>
      </c>
      <c r="U249" s="170">
        <f t="shared" si="23"/>
        <v>2051.14</v>
      </c>
      <c r="V249" s="170">
        <f t="shared" si="23"/>
        <v>2050.04</v>
      </c>
      <c r="W249" s="170">
        <f t="shared" si="23"/>
        <v>2031.8400000000001</v>
      </c>
      <c r="X249" s="170">
        <f t="shared" si="23"/>
        <v>2011.44</v>
      </c>
      <c r="Y249" s="170">
        <f t="shared" si="23"/>
        <v>2014.8400000000001</v>
      </c>
      <c r="Z249" s="170">
        <f t="shared" si="23"/>
        <v>2019.24</v>
      </c>
      <c r="AA249" s="170">
        <f t="shared" si="23"/>
        <v>2035.04</v>
      </c>
      <c r="AB249" s="170">
        <f t="shared" si="23"/>
        <v>2035.3400000000001</v>
      </c>
      <c r="AC249" s="170">
        <f t="shared" si="23"/>
        <v>2034.94</v>
      </c>
      <c r="AD249" s="170">
        <f t="shared" si="23"/>
        <v>2039.74</v>
      </c>
      <c r="AE249" s="170">
        <f t="shared" si="23"/>
        <v>2039.74</v>
      </c>
      <c r="AF249" s="170">
        <f t="shared" si="23"/>
        <v>2011.84</v>
      </c>
      <c r="AG249" s="170">
        <f t="shared" si="23"/>
        <v>2021.84</v>
      </c>
      <c r="AH249" s="170">
        <f t="shared" si="23"/>
        <v>1973.24</v>
      </c>
      <c r="AI249" s="170">
        <f t="shared" si="23"/>
        <v>1973.24</v>
      </c>
      <c r="AJ249" s="170">
        <f t="shared" si="23"/>
        <v>1999.24</v>
      </c>
      <c r="AK249" s="170">
        <f t="shared" si="23"/>
        <v>1979.1399999999999</v>
      </c>
      <c r="AL249" s="170">
        <f t="shared" si="23"/>
        <v>1986.04</v>
      </c>
      <c r="AM249" s="170">
        <f t="shared" si="23"/>
        <v>1986.04</v>
      </c>
      <c r="AN249" s="170">
        <f t="shared" si="23"/>
        <v>1980.1399999999999</v>
      </c>
      <c r="AO249" s="170">
        <f t="shared" si="23"/>
        <v>1987.54</v>
      </c>
      <c r="AP249" s="170">
        <f t="shared" si="23"/>
        <v>1991.54</v>
      </c>
      <c r="AQ249" s="170">
        <f t="shared" si="23"/>
        <v>2107.6400000000003</v>
      </c>
      <c r="AR249" s="170">
        <f t="shared" si="23"/>
        <v>2080.44</v>
      </c>
      <c r="AS249" s="170">
        <f t="shared" si="23"/>
        <v>2075.44</v>
      </c>
      <c r="AT249" s="170">
        <f t="shared" si="23"/>
        <v>2082.84</v>
      </c>
      <c r="AU249" s="170">
        <f t="shared" si="23"/>
        <v>2049.94</v>
      </c>
      <c r="AV249" s="170">
        <f t="shared" si="23"/>
        <v>2033.94</v>
      </c>
      <c r="AW249" s="170">
        <f t="shared" si="23"/>
        <v>2023.94</v>
      </c>
      <c r="AX249" s="170">
        <f t="shared" si="23"/>
        <v>2000.1399999999999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259" priority="115">
      <formula>$AH11=0</formula>
    </cfRule>
  </conditionalFormatting>
  <conditionalFormatting sqref="B8 M8 S8 AB8">
    <cfRule type="expression" dxfId="3258" priority="166">
      <formula>AND(C$9&gt;=14/24,C$9&lt;20/24)</formula>
    </cfRule>
    <cfRule type="expression" dxfId="3257" priority="167">
      <formula>AND(C$9&gt;=8/24,C$9&lt;14/24)</formula>
    </cfRule>
    <cfRule type="expression" dxfId="3256" priority="168">
      <formula>C$9&lt;8/24</formula>
    </cfRule>
  </conditionalFormatting>
  <conditionalFormatting sqref="E60:X60">
    <cfRule type="expression" dxfId="3255" priority="102">
      <formula>E$9&gt;=20/24</formula>
    </cfRule>
    <cfRule type="expression" dxfId="3254" priority="103">
      <formula>AND(E$9&gt;=14/24,E$9&lt;20/24)</formula>
    </cfRule>
    <cfRule type="expression" dxfId="3253" priority="104">
      <formula>AND(E$9&gt;=8/24,E$9&lt;14/24)</formula>
    </cfRule>
    <cfRule type="expression" dxfId="3252" priority="105">
      <formula>E$9&lt;8/24</formula>
    </cfRule>
  </conditionalFormatting>
  <conditionalFormatting sqref="E61:AF66">
    <cfRule type="expression" dxfId="3251" priority="85">
      <formula>E$9&gt;=20/24</formula>
    </cfRule>
    <cfRule type="expression" dxfId="3250" priority="86">
      <formula>AND(E$9&gt;=14/24,E$9&lt;20/24)</formula>
    </cfRule>
    <cfRule type="expression" dxfId="3249" priority="87">
      <formula>AND(E$9&gt;=8/24,E$9&lt;14/24)</formula>
    </cfRule>
    <cfRule type="expression" dxfId="3248" priority="88">
      <formula>E$9&lt;8/24</formula>
    </cfRule>
  </conditionalFormatting>
  <conditionalFormatting sqref="B9:AF10 E11:O14 P11:AF15 P17:AF17">
    <cfRule type="expression" dxfId="3247" priority="74">
      <formula>B$9&gt;=20/24</formula>
    </cfRule>
    <cfRule type="expression" dxfId="3246" priority="75">
      <formula>AND(B$9&gt;=14/24,B$9&lt;20/24)</formula>
    </cfRule>
    <cfRule type="expression" dxfId="3245" priority="76">
      <formula>AND(B$9&gt;=8/24,B$9&lt;14/24)</formula>
    </cfRule>
    <cfRule type="expression" dxfId="3244" priority="77">
      <formula>B$9&lt;8/24</formula>
    </cfRule>
  </conditionalFormatting>
  <conditionalFormatting sqref="E11:O14 P11:AF15 P17:AF17">
    <cfRule type="expression" dxfId="3243" priority="73">
      <formula>E11&gt;$AG11</formula>
    </cfRule>
  </conditionalFormatting>
  <conditionalFormatting sqref="E49:AF49">
    <cfRule type="expression" dxfId="3242" priority="79">
      <formula>E$9&gt;=20/24</formula>
    </cfRule>
    <cfRule type="expression" dxfId="3241" priority="80">
      <formula>AND(E$9&gt;=14/24,E$9&lt;20/24)</formula>
    </cfRule>
    <cfRule type="expression" dxfId="3240" priority="81">
      <formula>AND(E$9&gt;=8/24,E$9&lt;14/24)</formula>
    </cfRule>
    <cfRule type="expression" dxfId="3239" priority="82">
      <formula>E$9&lt;8/24</formula>
    </cfRule>
  </conditionalFormatting>
  <conditionalFormatting sqref="E49:AF50 Y51:AF53">
    <cfRule type="expression" dxfId="3238" priority="78">
      <formula>E49&gt;$AG49</formula>
    </cfRule>
  </conditionalFormatting>
  <conditionalFormatting sqref="Y51:AF53">
    <cfRule type="expression" dxfId="3237" priority="98">
      <formula>Y$9&gt;=20/24</formula>
    </cfRule>
    <cfRule type="expression" dxfId="3236" priority="99">
      <formula>AND(Y$9&gt;=14/24,Y$9&lt;20/24)</formula>
    </cfRule>
    <cfRule type="expression" dxfId="3235" priority="100">
      <formula>AND(Y$9&gt;=8/24,Y$9&lt;14/24)</formula>
    </cfRule>
    <cfRule type="expression" dxfId="3234" priority="101">
      <formula>Y$9&lt;8/24</formula>
    </cfRule>
  </conditionalFormatting>
  <conditionalFormatting sqref="E69:AF71">
    <cfRule type="expression" dxfId="3233" priority="106">
      <formula>E69&gt;$AG69</formula>
    </cfRule>
    <cfRule type="expression" dxfId="3232" priority="107">
      <formula>E$9&gt;=20/24</formula>
    </cfRule>
    <cfRule type="expression" dxfId="3231" priority="108">
      <formula>AND(E$9&gt;=14/24,E$9&lt;20/24)</formula>
    </cfRule>
    <cfRule type="expression" dxfId="3230" priority="109">
      <formula>AND(E$9&gt;=8/24,E$9&lt;14/24)</formula>
    </cfRule>
    <cfRule type="expression" dxfId="3229" priority="110">
      <formula>E$9&lt;8/24</formula>
    </cfRule>
  </conditionalFormatting>
  <conditionalFormatting sqref="D76:S91 E73:S75 T73:AF91">
    <cfRule type="expression" dxfId="3228" priority="52">
      <formula>D$9&gt;=20/24</formula>
    </cfRule>
    <cfRule type="expression" dxfId="3227" priority="53">
      <formula>AND(D$9&gt;=14/24,D$9&lt;20/24)</formula>
    </cfRule>
    <cfRule type="expression" dxfId="3226" priority="54">
      <formula>AND(D$9&gt;=8/24,D$9&lt;14/24)</formula>
    </cfRule>
    <cfRule type="expression" dxfId="3225" priority="55">
      <formula>D$9&lt;8/24</formula>
    </cfRule>
  </conditionalFormatting>
  <conditionalFormatting sqref="D111:AF120">
    <cfRule type="expression" dxfId="3224" priority="65">
      <formula>D$9&gt;=20/24</formula>
    </cfRule>
    <cfRule type="expression" dxfId="3223" priority="66">
      <formula>AND(D$9&gt;=14/24,D$9&lt;20/24)</formula>
    </cfRule>
    <cfRule type="expression" dxfId="3222" priority="67">
      <formula>AND(D$9&gt;=8/24,D$9&lt;14/24)</formula>
    </cfRule>
    <cfRule type="expression" dxfId="3221" priority="68">
      <formula>D$9&lt;8/24</formula>
    </cfRule>
  </conditionalFormatting>
  <conditionalFormatting sqref="B227:AF227 D229:AF230 B229:B235 D231:H231 J231:AF231 D232:AF235 U248:AF248">
    <cfRule type="expression" dxfId="3220" priority="159">
      <formula>B$9&gt;=20/24</formula>
    </cfRule>
    <cfRule type="expression" dxfId="3219" priority="160">
      <formula>AND(B$9&gt;=14/24,B$9&lt;20/24)</formula>
    </cfRule>
    <cfRule type="expression" dxfId="3218" priority="161">
      <formula>AND(B$9&gt;=8/24,B$9&lt;14/24)</formula>
    </cfRule>
    <cfRule type="expression" dxfId="3217" priority="162">
      <formula>B$9&lt;8/24</formula>
    </cfRule>
  </conditionalFormatting>
  <conditionalFormatting sqref="E67:AG68 E72:AG72">
    <cfRule type="expression" dxfId="3216" priority="93">
      <formula>E67&gt;$AG67</formula>
    </cfRule>
  </conditionalFormatting>
  <conditionalFormatting sqref="E72:AG72 D93:AF109">
    <cfRule type="expression" dxfId="3215" priority="94">
      <formula>D$9&gt;=20/24</formula>
    </cfRule>
    <cfRule type="expression" dxfId="3214" priority="95">
      <formula>AND(D$9&gt;=14/24,D$9&lt;20/24)</formula>
    </cfRule>
    <cfRule type="expression" dxfId="3213" priority="96">
      <formula>AND(D$9&gt;=8/24,D$9&lt;14/24)</formula>
    </cfRule>
    <cfRule type="expression" dxfId="3212" priority="97">
      <formula>D$9&lt;8/24</formula>
    </cfRule>
  </conditionalFormatting>
  <conditionalFormatting sqref="E55:AF66">
    <cfRule type="expression" dxfId="3211" priority="56">
      <formula>E55&gt;$AG55</formula>
    </cfRule>
  </conditionalFormatting>
  <conditionalFormatting sqref="E54:AG54">
    <cfRule type="expression" dxfId="3210" priority="127">
      <formula>E54&gt;$AG54</formula>
    </cfRule>
    <cfRule type="expression" dxfId="3209" priority="128">
      <formula>E$9&gt;=20/24</formula>
    </cfRule>
    <cfRule type="expression" dxfId="3208" priority="129">
      <formula>AND(E$9&gt;=14/24,E$9&lt;20/24)</formula>
    </cfRule>
    <cfRule type="expression" dxfId="3207" priority="130">
      <formula>AND(E$9&gt;=8/24,E$9&lt;14/24)</formula>
    </cfRule>
    <cfRule type="expression" dxfId="3206" priority="131">
      <formula>E$9&lt;8/24</formula>
    </cfRule>
  </conditionalFormatting>
  <conditionalFormatting sqref="E55:O57">
    <cfRule type="expression" dxfId="3205" priority="140">
      <formula>E$9&gt;=20/24</formula>
    </cfRule>
    <cfRule type="expression" dxfId="3204" priority="141">
      <formula>AND(E$9&gt;=14/24,E$9&lt;20/24)</formula>
    </cfRule>
    <cfRule type="expression" dxfId="3203" priority="142">
      <formula>AND(E$9&gt;=8/24,E$9&lt;14/24)</formula>
    </cfRule>
    <cfRule type="expression" dxfId="3202" priority="143">
      <formula>E$9&lt;8/24</formula>
    </cfRule>
  </conditionalFormatting>
  <conditionalFormatting sqref="M55:X59">
    <cfRule type="expression" dxfId="3201" priority="144">
      <formula>M$9&gt;=20/24</formula>
    </cfRule>
    <cfRule type="expression" dxfId="3200" priority="145">
      <formula>AND(M$9&gt;=14/24,M$9&lt;20/24)</formula>
    </cfRule>
    <cfRule type="expression" dxfId="3199" priority="146">
      <formula>AND(M$9&gt;=8/24,M$9&lt;14/24)</formula>
    </cfRule>
    <cfRule type="expression" dxfId="3198" priority="147">
      <formula>M$9&lt;8/24</formula>
    </cfRule>
  </conditionalFormatting>
  <conditionalFormatting sqref="O3:P3">
    <cfRule type="iconSet" priority="163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197" priority="165">
      <formula>C$9&gt;=20/24</formula>
    </cfRule>
  </conditionalFormatting>
  <conditionalFormatting sqref="S8">
    <cfRule type="expression" dxfId="3196" priority="152">
      <formula>U$9&gt;=20/24</formula>
    </cfRule>
    <cfRule type="expression" dxfId="3195" priority="153">
      <formula>AND(U$9&gt;=14/24,U$9&lt;20/24)</formula>
    </cfRule>
    <cfRule type="expression" dxfId="3194" priority="154">
      <formula>AND(U$9&gt;=8/24,U$9&lt;14/24)</formula>
    </cfRule>
    <cfRule type="expression" dxfId="3193" priority="155">
      <formula>U$9&lt;8/24</formula>
    </cfRule>
  </conditionalFormatting>
  <conditionalFormatting sqref="S55:AF60">
    <cfRule type="expression" dxfId="3192" priority="61">
      <formula>S$9&gt;=20/24</formula>
    </cfRule>
    <cfRule type="expression" dxfId="3191" priority="62">
      <formula>AND(S$9&gt;=14/24,S$9&lt;20/24)</formula>
    </cfRule>
    <cfRule type="expression" dxfId="3190" priority="63">
      <formula>AND(S$9&gt;=8/24,S$9&lt;14/24)</formula>
    </cfRule>
    <cfRule type="expression" dxfId="3189" priority="64">
      <formula>S$9&lt;8/24</formula>
    </cfRule>
  </conditionalFormatting>
  <conditionalFormatting sqref="T248">
    <cfRule type="expression" dxfId="3188" priority="177">
      <formula>AX$9&gt;=20/24</formula>
    </cfRule>
    <cfRule type="expression" dxfId="3187" priority="178">
      <formula>AND(AX$9&gt;=14/24,AX$9&lt;20/24)</formula>
    </cfRule>
    <cfRule type="expression" dxfId="3186" priority="179">
      <formula>AND(AX$9&gt;=8/24,AX$9&lt;14/24)</formula>
    </cfRule>
    <cfRule type="expression" dxfId="3185" priority="180">
      <formula>AX$9&lt;8/24</formula>
    </cfRule>
  </conditionalFormatting>
  <conditionalFormatting sqref="V3 AB3">
    <cfRule type="iconSet" priority="164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184" priority="148">
      <formula>AD$9&gt;=20/24</formula>
    </cfRule>
    <cfRule type="expression" dxfId="3183" priority="149">
      <formula>AND(AD$9&gt;=14/24,AD$9&lt;20/24)</formula>
    </cfRule>
    <cfRule type="expression" dxfId="3182" priority="150">
      <formula>AND(AD$9&gt;=8/24,AD$9&lt;14/24)</formula>
    </cfRule>
    <cfRule type="expression" dxfId="3181" priority="151">
      <formula>AD$9&lt;8/24</formula>
    </cfRule>
  </conditionalFormatting>
  <conditionalFormatting sqref="AE61:AF66">
    <cfRule type="expression" dxfId="3180" priority="57">
      <formula>AE$9&gt;=20/24</formula>
    </cfRule>
    <cfRule type="expression" dxfId="3179" priority="58">
      <formula>AND(AE$9&gt;=14/24,AE$9&lt;20/24)</formula>
    </cfRule>
    <cfRule type="expression" dxfId="3178" priority="59">
      <formula>AND(AE$9&gt;=8/24,AE$9&lt;14/24)</formula>
    </cfRule>
    <cfRule type="expression" dxfId="3177" priority="60">
      <formula>AE$9&lt;8/24</formula>
    </cfRule>
  </conditionalFormatting>
  <conditionalFormatting sqref="AG50">
    <cfRule type="expression" dxfId="3176" priority="135">
      <formula>AG50&gt;$AG50</formula>
    </cfRule>
  </conditionalFormatting>
  <conditionalFormatting sqref="AG89">
    <cfRule type="expression" dxfId="3175" priority="136">
      <formula>AG$9&gt;=20/24</formula>
    </cfRule>
    <cfRule type="expression" dxfId="3174" priority="137">
      <formula>AND(AG$9&gt;=14/24,AG$9&lt;20/24)</formula>
    </cfRule>
    <cfRule type="expression" dxfId="3173" priority="138">
      <formula>AND(AG$9&gt;=8/24,AG$9&lt;14/24)</formula>
    </cfRule>
    <cfRule type="expression" dxfId="3172" priority="139">
      <formula>AG$9&lt;8/24</formula>
    </cfRule>
  </conditionalFormatting>
  <conditionalFormatting sqref="AG248">
    <cfRule type="expression" dxfId="3171" priority="169">
      <formula>B$9&gt;=20/24</formula>
    </cfRule>
    <cfRule type="expression" dxfId="3170" priority="170">
      <formula>AND(B$9&gt;=14/24,B$9&lt;20/24)</formula>
    </cfRule>
    <cfRule type="expression" dxfId="3169" priority="171">
      <formula>AND(B$9&gt;=8/24,B$9&lt;14/24)</formula>
    </cfRule>
    <cfRule type="expression" dxfId="3168" priority="172">
      <formula>B$9&lt;8/24</formula>
    </cfRule>
  </conditionalFormatting>
  <conditionalFormatting sqref="AH248:AX248">
    <cfRule type="expression" dxfId="3167" priority="173">
      <formula>AG$9&gt;=20/24</formula>
    </cfRule>
    <cfRule type="expression" dxfId="3166" priority="174">
      <formula>AND(AG$9&gt;=14/24,AG$9&lt;20/24)</formula>
    </cfRule>
    <cfRule type="expression" dxfId="3165" priority="175">
      <formula>AND(AG$9&gt;=8/24,AG$9&lt;14/24)</formula>
    </cfRule>
    <cfRule type="expression" dxfId="3164" priority="176">
      <formula>AG$9&lt;8/24</formula>
    </cfRule>
  </conditionalFormatting>
  <conditionalFormatting sqref="AL4:AL6">
    <cfRule type="iconSet" priority="158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18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33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17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32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34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57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56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16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81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163" priority="182">
      <formula>AJ$9&gt;=20/24</formula>
    </cfRule>
    <cfRule type="expression" dxfId="3162" priority="183">
      <formula>AND(AJ$9&gt;=14/24,AJ$9&lt;20/24)</formula>
    </cfRule>
    <cfRule type="expression" dxfId="3161" priority="184">
      <formula>AND(AJ$9&gt;=8/24,AJ$9&lt;14/24)</formula>
    </cfRule>
    <cfRule type="expression" dxfId="3160" priority="185">
      <formula>AJ$9&lt;8/24</formula>
    </cfRule>
  </conditionalFormatting>
  <conditionalFormatting sqref="AL80:AN80 AL86:AN86">
    <cfRule type="expression" dxfId="3159" priority="123">
      <formula>AL$9&gt;=20/24</formula>
    </cfRule>
    <cfRule type="expression" dxfId="3158" priority="124">
      <formula>AND(AL$9&gt;=14/24,AL$9&lt;20/24)</formula>
    </cfRule>
    <cfRule type="expression" dxfId="3157" priority="125">
      <formula>AND(AL$9&gt;=8/24,AL$9&lt;14/24)</formula>
    </cfRule>
    <cfRule type="expression" dxfId="3156" priority="126">
      <formula>AL$9&lt;8/24</formula>
    </cfRule>
  </conditionalFormatting>
  <conditionalFormatting sqref="AN81:AN84">
    <cfRule type="expression" dxfId="3155" priority="119">
      <formula>AN$9&gt;=20/24</formula>
    </cfRule>
    <cfRule type="expression" dxfId="3154" priority="120">
      <formula>AND(AN$9&gt;=14/24,AN$9&lt;20/24)</formula>
    </cfRule>
    <cfRule type="expression" dxfId="3153" priority="121">
      <formula>AND(AN$9&gt;=8/24,AN$9&lt;14/24)</formula>
    </cfRule>
    <cfRule type="expression" dxfId="3152" priority="122">
      <formula>AN$9&lt;8/24</formula>
    </cfRule>
  </conditionalFormatting>
  <conditionalFormatting sqref="B61:D66">
    <cfRule type="expression" dxfId="3151" priority="29">
      <formula>B$9&gt;=20/24</formula>
    </cfRule>
    <cfRule type="expression" dxfId="3150" priority="30">
      <formula>AND(B$9&gt;=14/24,B$9&lt;20/24)</formula>
    </cfRule>
    <cfRule type="expression" dxfId="3149" priority="31">
      <formula>AND(B$9&gt;=8/24,B$9&lt;14/24)</formula>
    </cfRule>
    <cfRule type="expression" dxfId="3148" priority="32">
      <formula>B$9&lt;8/24</formula>
    </cfRule>
  </conditionalFormatting>
  <conditionalFormatting sqref="B11:D45 E15:O25 P18:P25 E26:P45 P16:AF16 Q18:AF45">
    <cfRule type="expression" dxfId="3147" priority="19">
      <formula>B$9&gt;=20/24</formula>
    </cfRule>
    <cfRule type="expression" dxfId="3146" priority="20">
      <formula>AND(B$9&gt;=14/24,B$9&lt;20/24)</formula>
    </cfRule>
    <cfRule type="expression" dxfId="3145" priority="21">
      <formula>AND(B$9&gt;=8/24,B$9&lt;14/24)</formula>
    </cfRule>
    <cfRule type="expression" dxfId="3144" priority="22">
      <formula>B$9&lt;8/24</formula>
    </cfRule>
  </conditionalFormatting>
  <conditionalFormatting sqref="B11:D46 E15:O25 P18:P25 E26:P46 P16:AF16 Q18:AF46">
    <cfRule type="expression" dxfId="3143" priority="18">
      <formula>B11&gt;$AG11</formula>
    </cfRule>
  </conditionalFormatting>
  <conditionalFormatting sqref="B46:AF46">
    <cfRule type="expression" dxfId="3142" priority="14">
      <formula>B$9&gt;=20/24</formula>
    </cfRule>
    <cfRule type="expression" dxfId="3141" priority="15">
      <formula>AND(B$9&gt;=14/24,B$9&lt;20/24)</formula>
    </cfRule>
    <cfRule type="expression" dxfId="3140" priority="16">
      <formula>AND(B$9&gt;=8/24,B$9&lt;14/24)</formula>
    </cfRule>
    <cfRule type="expression" dxfId="3139" priority="17">
      <formula>B$9&lt;8/24</formula>
    </cfRule>
  </conditionalFormatting>
  <conditionalFormatting sqref="B47:AF47">
    <cfRule type="expression" dxfId="3138" priority="28">
      <formula>B47&gt;$AG47</formula>
    </cfRule>
  </conditionalFormatting>
  <conditionalFormatting sqref="B47:D49 E47:AF48">
    <cfRule type="expression" dxfId="3137" priority="24">
      <formula>B$9&gt;=20/24</formula>
    </cfRule>
    <cfRule type="expression" dxfId="3136" priority="25">
      <formula>AND(B$9&gt;=14/24,B$9&lt;20/24)</formula>
    </cfRule>
    <cfRule type="expression" dxfId="3135" priority="26">
      <formula>AND(B$9&gt;=8/24,B$9&lt;14/24)</formula>
    </cfRule>
    <cfRule type="expression" dxfId="3134" priority="27">
      <formula>B$9&lt;8/24</formula>
    </cfRule>
  </conditionalFormatting>
  <conditionalFormatting sqref="B48:D53 E51:X53 E48:AF48">
    <cfRule type="expression" dxfId="3133" priority="23">
      <formula>B48&gt;$AG48</formula>
    </cfRule>
  </conditionalFormatting>
  <conditionalFormatting sqref="B51:X53">
    <cfRule type="expression" dxfId="3132" priority="38">
      <formula>B$9&gt;=20/24</formula>
    </cfRule>
    <cfRule type="expression" dxfId="3131" priority="39">
      <formula>AND(B$9&gt;=14/24,B$9&lt;20/24)</formula>
    </cfRule>
    <cfRule type="expression" dxfId="3130" priority="40">
      <formula>AND(B$9&gt;=8/24,B$9&lt;14/24)</formula>
    </cfRule>
    <cfRule type="expression" dxfId="3129" priority="41">
      <formula>B$9&lt;8/24</formula>
    </cfRule>
  </conditionalFormatting>
  <conditionalFormatting sqref="B69:D71">
    <cfRule type="expression" dxfId="3128" priority="42">
      <formula>B69&gt;$AG69</formula>
    </cfRule>
    <cfRule type="expression" dxfId="3127" priority="43">
      <formula>B$9&gt;=20/24</formula>
    </cfRule>
    <cfRule type="expression" dxfId="3126" priority="44">
      <formula>AND(B$9&gt;=14/24,B$9&lt;20/24)</formula>
    </cfRule>
    <cfRule type="expression" dxfId="3125" priority="45">
      <formula>AND(B$9&gt;=8/24,B$9&lt;14/24)</formula>
    </cfRule>
    <cfRule type="expression" dxfId="3124" priority="46">
      <formula>B$9&lt;8/24</formula>
    </cfRule>
  </conditionalFormatting>
  <conditionalFormatting sqref="B73:C91 D73:D75">
    <cfRule type="expression" dxfId="3123" priority="1">
      <formula>B$9&gt;=20/24</formula>
    </cfRule>
    <cfRule type="expression" dxfId="3122" priority="2">
      <formula>AND(B$9&gt;=14/24,B$9&lt;20/24)</formula>
    </cfRule>
    <cfRule type="expression" dxfId="3121" priority="3">
      <formula>AND(B$9&gt;=8/24,B$9&lt;14/24)</formula>
    </cfRule>
    <cfRule type="expression" dxfId="3120" priority="4">
      <formula>B$9&lt;8/24</formula>
    </cfRule>
  </conditionalFormatting>
  <conditionalFormatting sqref="B111:C120">
    <cfRule type="expression" dxfId="3119" priority="10">
      <formula>B$9&gt;=20/24</formula>
    </cfRule>
    <cfRule type="expression" dxfId="3118" priority="11">
      <formula>AND(B$9&gt;=14/24,B$9&lt;20/24)</formula>
    </cfRule>
    <cfRule type="expression" dxfId="3117" priority="12">
      <formula>AND(B$9&gt;=8/24,B$9&lt;14/24)</formula>
    </cfRule>
    <cfRule type="expression" dxfId="3116" priority="13">
      <formula>B$9&lt;8/24</formula>
    </cfRule>
  </conditionalFormatting>
  <conditionalFormatting sqref="B72:D72 B67:D68">
    <cfRule type="expression" dxfId="3115" priority="33">
      <formula>B67&gt;$AG67</formula>
    </cfRule>
  </conditionalFormatting>
  <conditionalFormatting sqref="B93:C109 B72:D72">
    <cfRule type="expression" dxfId="3114" priority="34">
      <formula>B$9&gt;=20/24</formula>
    </cfRule>
    <cfRule type="expression" dxfId="3113" priority="35">
      <formula>AND(B$9&gt;=14/24,B$9&lt;20/24)</formula>
    </cfRule>
    <cfRule type="expression" dxfId="3112" priority="36">
      <formula>AND(B$9&gt;=8/24,B$9&lt;14/24)</formula>
    </cfRule>
    <cfRule type="expression" dxfId="3111" priority="37">
      <formula>B$9&lt;8/24</formula>
    </cfRule>
  </conditionalFormatting>
  <conditionalFormatting sqref="B55:D66">
    <cfRule type="expression" dxfId="3110" priority="5">
      <formula>B55&gt;$AG55</formula>
    </cfRule>
  </conditionalFormatting>
  <conditionalFormatting sqref="B54:D54">
    <cfRule type="expression" dxfId="3109" priority="47">
      <formula>B54&gt;$AG54</formula>
    </cfRule>
    <cfRule type="expression" dxfId="3108" priority="48">
      <formula>B$9&gt;=20/24</formula>
    </cfRule>
    <cfRule type="expression" dxfId="3107" priority="49">
      <formula>AND(B$9&gt;=14/24,B$9&lt;20/24)</formula>
    </cfRule>
    <cfRule type="expression" dxfId="3106" priority="50">
      <formula>AND(B$9&gt;=8/24,B$9&lt;14/24)</formula>
    </cfRule>
    <cfRule type="expression" dxfId="3105" priority="51">
      <formula>B$9&lt;8/24</formula>
    </cfRule>
  </conditionalFormatting>
  <conditionalFormatting sqref="B55:D60">
    <cfRule type="expression" dxfId="3104" priority="6">
      <formula>B$9&gt;=20/24</formula>
    </cfRule>
    <cfRule type="expression" dxfId="3103" priority="7">
      <formula>AND(B$9&gt;=14/24,B$9&lt;20/24)</formula>
    </cfRule>
    <cfRule type="expression" dxfId="3102" priority="8">
      <formula>AND(B$9&gt;=8/24,B$9&lt;14/24)</formula>
    </cfRule>
    <cfRule type="expression" dxfId="3101" priority="9">
      <formula>B$9&lt;8/24</formula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A6FA-534C-4EA2-92B8-590D76CCFB07}">
  <sheetPr codeName="Sheet29"/>
  <dimension ref="A1:CJ281"/>
  <sheetViews>
    <sheetView workbookViewId="0">
      <pane xSplit="1" ySplit="10" topLeftCell="E67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2080/05/7</v>
      </c>
      <c r="C4" s="201"/>
      <c r="D4" s="201"/>
      <c r="E4" s="202" t="str">
        <f ca="1">"2080/"&amp;"05/"&amp;INT(MID(CELL("filename",G6),FIND("]",CELL("filename",G6))+1,200))</f>
        <v>2080/05/7</v>
      </c>
      <c r="F4" s="202"/>
      <c r="G4" s="202"/>
      <c r="H4" s="202" t="str">
        <f ca="1">TEXT(E4,"dddd")</f>
        <v>Tuesday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2085MW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2000.1399999999999</v>
      </c>
      <c r="C7" s="35">
        <f t="shared" si="1"/>
        <v>2008.74</v>
      </c>
      <c r="D7" s="35">
        <f t="shared" si="1"/>
        <v>2008.74</v>
      </c>
      <c r="E7" s="35">
        <f t="shared" si="1"/>
        <v>2007.1399999999999</v>
      </c>
      <c r="F7" s="35">
        <f t="shared" si="1"/>
        <v>1996.94</v>
      </c>
      <c r="G7" s="35">
        <f t="shared" si="1"/>
        <v>2033.44</v>
      </c>
      <c r="H7" s="35">
        <f t="shared" si="1"/>
        <v>3.54</v>
      </c>
      <c r="I7" s="35">
        <f t="shared" si="1"/>
        <v>3.54</v>
      </c>
      <c r="J7" s="35">
        <f t="shared" si="1"/>
        <v>1941.54</v>
      </c>
      <c r="K7" s="35">
        <f t="shared" si="1"/>
        <v>1996.6399999999999</v>
      </c>
      <c r="L7" s="35">
        <f t="shared" si="1"/>
        <v>2068.7400000000002</v>
      </c>
      <c r="M7" s="35">
        <f t="shared" si="1"/>
        <v>2084.84</v>
      </c>
      <c r="N7" s="35">
        <f>N91</f>
        <v>2064.2400000000002</v>
      </c>
      <c r="O7" s="35">
        <f t="shared" si="1"/>
        <v>2065.7400000000002</v>
      </c>
      <c r="P7" s="35">
        <f>P91</f>
        <v>2099.3300000000004</v>
      </c>
      <c r="Q7" s="35">
        <f t="shared" si="1"/>
        <v>2097.3300000000004</v>
      </c>
      <c r="R7" s="35">
        <f t="shared" si="1"/>
        <v>2099.3300000000004</v>
      </c>
      <c r="S7" s="35">
        <f t="shared" si="1"/>
        <v>2092.23</v>
      </c>
      <c r="T7" s="35">
        <f t="shared" si="1"/>
        <v>2092.7399999999998</v>
      </c>
      <c r="U7" s="35">
        <f t="shared" si="1"/>
        <v>2096.84</v>
      </c>
      <c r="V7" s="35">
        <f t="shared" si="1"/>
        <v>2063.84</v>
      </c>
      <c r="W7" s="35">
        <f t="shared" si="1"/>
        <v>2057.14</v>
      </c>
      <c r="X7" s="35">
        <f t="shared" si="1"/>
        <v>2057.14</v>
      </c>
      <c r="Y7" s="35">
        <f t="shared" si="1"/>
        <v>2170.5400000000004</v>
      </c>
      <c r="Z7" s="35">
        <f t="shared" si="1"/>
        <v>2156.14</v>
      </c>
      <c r="AA7" s="35">
        <f t="shared" si="1"/>
        <v>2127.44</v>
      </c>
      <c r="AB7" s="35">
        <f t="shared" si="1"/>
        <v>2139.54</v>
      </c>
      <c r="AC7" s="35">
        <f t="shared" si="1"/>
        <v>2086.2399999999998</v>
      </c>
      <c r="AD7" s="35">
        <f t="shared" si="1"/>
        <v>2071.2399999999998</v>
      </c>
      <c r="AE7" s="35">
        <f t="shared" si="1"/>
        <v>2025.0400000000002</v>
      </c>
      <c r="AF7" s="35">
        <f t="shared" si="1"/>
        <v>2007.0400000000002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85.9</v>
      </c>
      <c r="C11" s="45">
        <v>85.9</v>
      </c>
      <c r="D11" s="45">
        <v>85.9</v>
      </c>
      <c r="E11" s="45">
        <v>85.9</v>
      </c>
      <c r="F11" s="45">
        <v>85.9</v>
      </c>
      <c r="G11" s="45">
        <v>85.9</v>
      </c>
      <c r="H11" s="45"/>
      <c r="I11" s="45"/>
      <c r="J11" s="45">
        <v>85.9</v>
      </c>
      <c r="K11" s="45">
        <v>89.4</v>
      </c>
      <c r="L11" s="45">
        <v>89.4</v>
      </c>
      <c r="M11" s="45">
        <v>89.4</v>
      </c>
      <c r="N11" s="45">
        <v>89.4</v>
      </c>
      <c r="O11" s="45">
        <v>89.4</v>
      </c>
      <c r="P11" s="45">
        <v>89.4</v>
      </c>
      <c r="Q11" s="45">
        <v>89.4</v>
      </c>
      <c r="R11" s="45">
        <v>89.4</v>
      </c>
      <c r="S11" s="45">
        <v>89.4</v>
      </c>
      <c r="T11" s="45">
        <v>89.4</v>
      </c>
      <c r="U11" s="45">
        <v>89.4</v>
      </c>
      <c r="V11" s="45">
        <v>89.4</v>
      </c>
      <c r="W11" s="45">
        <v>86.4</v>
      </c>
      <c r="X11" s="45">
        <v>86.4</v>
      </c>
      <c r="Y11" s="45">
        <v>86.4</v>
      </c>
      <c r="Z11" s="45">
        <v>86.4</v>
      </c>
      <c r="AA11" s="45">
        <v>86.4</v>
      </c>
      <c r="AB11" s="45">
        <v>90.1</v>
      </c>
      <c r="AC11" s="45">
        <v>90.1</v>
      </c>
      <c r="AD11" s="45">
        <v>90.1</v>
      </c>
      <c r="AE11" s="45">
        <v>90.1</v>
      </c>
      <c r="AF11" s="45">
        <v>90.1</v>
      </c>
      <c r="AG11" s="46">
        <v>86</v>
      </c>
      <c r="AH11" s="47">
        <f t="shared" ref="AH11:AH76" si="2">MAX(B11:AF11)</f>
        <v>90.1</v>
      </c>
      <c r="AI11" s="48">
        <f t="shared" ref="AI11:AI76" si="3">MIN(B11:AF11)</f>
        <v>85.9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9</v>
      </c>
      <c r="H12" s="177" t="s">
        <v>288</v>
      </c>
      <c r="I12" s="45"/>
      <c r="J12" s="45">
        <v>9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9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53.1</v>
      </c>
      <c r="C13" s="45">
        <v>53.1</v>
      </c>
      <c r="D13" s="45">
        <v>53.1</v>
      </c>
      <c r="E13" s="45">
        <v>53.1</v>
      </c>
      <c r="F13" s="45">
        <v>53.1</v>
      </c>
      <c r="G13" s="45">
        <v>53.1</v>
      </c>
      <c r="H13" s="45"/>
      <c r="I13" s="177" t="s">
        <v>289</v>
      </c>
      <c r="J13" s="45">
        <v>53.1</v>
      </c>
      <c r="K13" s="45">
        <v>54.4</v>
      </c>
      <c r="L13" s="45">
        <v>54.4</v>
      </c>
      <c r="M13" s="45">
        <v>54.4</v>
      </c>
      <c r="N13" s="45">
        <v>54.4</v>
      </c>
      <c r="O13" s="45">
        <v>54.4</v>
      </c>
      <c r="P13" s="45">
        <v>54.4</v>
      </c>
      <c r="Q13" s="45">
        <v>54.4</v>
      </c>
      <c r="R13" s="45">
        <v>54.4</v>
      </c>
      <c r="S13" s="45">
        <v>54.4</v>
      </c>
      <c r="T13" s="45">
        <v>54.4</v>
      </c>
      <c r="U13" s="45">
        <v>54.4</v>
      </c>
      <c r="V13" s="45">
        <v>54.4</v>
      </c>
      <c r="W13" s="45">
        <v>54.4</v>
      </c>
      <c r="X13" s="45">
        <v>54.4</v>
      </c>
      <c r="Y13" s="45">
        <v>54.4</v>
      </c>
      <c r="Z13" s="45">
        <v>54.4</v>
      </c>
      <c r="AA13" s="45">
        <v>54.4</v>
      </c>
      <c r="AB13" s="45">
        <v>54.4</v>
      </c>
      <c r="AC13" s="45">
        <v>54.4</v>
      </c>
      <c r="AD13" s="45">
        <v>54.4</v>
      </c>
      <c r="AE13" s="45">
        <v>54.4</v>
      </c>
      <c r="AF13" s="45">
        <v>54.4</v>
      </c>
      <c r="AG13" s="46">
        <v>52.4</v>
      </c>
      <c r="AH13" s="47">
        <f t="shared" si="2"/>
        <v>54.4</v>
      </c>
      <c r="AI13" s="48">
        <f t="shared" si="3"/>
        <v>53.1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/>
      <c r="I14" s="58"/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50.4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46.6</v>
      </c>
      <c r="C15" s="45">
        <v>46.6</v>
      </c>
      <c r="D15" s="45">
        <v>46.6</v>
      </c>
      <c r="E15" s="45">
        <v>46.6</v>
      </c>
      <c r="F15" s="45">
        <v>46.6</v>
      </c>
      <c r="G15" s="45">
        <v>46.6</v>
      </c>
      <c r="H15" s="45"/>
      <c r="I15" s="45"/>
      <c r="J15" s="45">
        <v>46.6</v>
      </c>
      <c r="K15" s="45">
        <v>46.7</v>
      </c>
      <c r="L15" s="45">
        <v>46.7</v>
      </c>
      <c r="M15" s="45">
        <v>46.7</v>
      </c>
      <c r="N15" s="45">
        <v>46.7</v>
      </c>
      <c r="O15" s="45">
        <v>46.7</v>
      </c>
      <c r="P15" s="45">
        <v>46.7</v>
      </c>
      <c r="Q15" s="45">
        <v>46.7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46.7</v>
      </c>
      <c r="AC15" s="45">
        <v>20</v>
      </c>
      <c r="AD15" s="45">
        <v>0</v>
      </c>
      <c r="AE15" s="45">
        <v>0</v>
      </c>
      <c r="AF15" s="45">
        <v>0</v>
      </c>
      <c r="AG15" s="49">
        <v>45</v>
      </c>
      <c r="AH15" s="47">
        <f t="shared" si="2"/>
        <v>46.7</v>
      </c>
      <c r="AI15" s="48">
        <f t="shared" si="3"/>
        <v>0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/>
      <c r="I16" s="45"/>
      <c r="J16" s="45">
        <v>8</v>
      </c>
      <c r="K16" s="45">
        <v>8</v>
      </c>
      <c r="L16" s="45">
        <v>8</v>
      </c>
      <c r="M16" s="45">
        <v>8</v>
      </c>
      <c r="N16" s="45">
        <v>8</v>
      </c>
      <c r="O16" s="45">
        <v>8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8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28.5</v>
      </c>
      <c r="C17" s="45">
        <v>28.5</v>
      </c>
      <c r="D17" s="45">
        <v>28.5</v>
      </c>
      <c r="E17" s="45">
        <v>28.5</v>
      </c>
      <c r="F17" s="45">
        <v>28.5</v>
      </c>
      <c r="G17" s="45">
        <v>28.5</v>
      </c>
      <c r="H17" s="45"/>
      <c r="I17" s="45"/>
      <c r="J17" s="45">
        <v>8</v>
      </c>
      <c r="K17" s="45">
        <v>8</v>
      </c>
      <c r="L17" s="45">
        <v>8</v>
      </c>
      <c r="M17" s="45">
        <v>8</v>
      </c>
      <c r="N17" s="45">
        <v>8</v>
      </c>
      <c r="O17" s="45">
        <v>8</v>
      </c>
      <c r="P17" s="45">
        <v>28.99</v>
      </c>
      <c r="Q17" s="45">
        <v>28.99</v>
      </c>
      <c r="R17" s="45">
        <v>28.99</v>
      </c>
      <c r="S17" s="45">
        <v>28.99</v>
      </c>
      <c r="T17" s="45">
        <v>30.5</v>
      </c>
      <c r="U17" s="45">
        <v>30.5</v>
      </c>
      <c r="V17" s="45">
        <v>32.5</v>
      </c>
      <c r="W17" s="45">
        <v>32.5</v>
      </c>
      <c r="X17" s="45">
        <v>32.5</v>
      </c>
      <c r="Y17" s="45">
        <v>32.5</v>
      </c>
      <c r="Z17" s="45">
        <v>32.5</v>
      </c>
      <c r="AA17" s="45">
        <v>32.5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32.5</v>
      </c>
      <c r="AI17" s="48">
        <f t="shared" si="3"/>
        <v>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/>
      <c r="I18" s="45"/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37</v>
      </c>
      <c r="Q18" s="45">
        <v>37</v>
      </c>
      <c r="R18" s="45">
        <v>37</v>
      </c>
      <c r="S18" s="45">
        <v>37</v>
      </c>
      <c r="T18" s="45">
        <v>37</v>
      </c>
      <c r="U18" s="45">
        <v>37</v>
      </c>
      <c r="V18" s="45">
        <v>37</v>
      </c>
      <c r="W18" s="45">
        <v>37</v>
      </c>
      <c r="X18" s="45">
        <v>37</v>
      </c>
      <c r="Y18" s="45">
        <v>37</v>
      </c>
      <c r="Z18" s="45">
        <v>37</v>
      </c>
      <c r="AA18" s="45">
        <v>37</v>
      </c>
      <c r="AB18" s="45">
        <v>37</v>
      </c>
      <c r="AC18" s="45">
        <v>37</v>
      </c>
      <c r="AD18" s="45">
        <v>37</v>
      </c>
      <c r="AE18" s="45">
        <v>37</v>
      </c>
      <c r="AF18" s="45">
        <v>37</v>
      </c>
      <c r="AG18" s="49">
        <v>38.46</v>
      </c>
      <c r="AH18" s="47">
        <f t="shared" si="2"/>
        <v>38</v>
      </c>
      <c r="AI18" s="48">
        <f t="shared" si="3"/>
        <v>37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/>
      <c r="I19" s="45"/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0</v>
      </c>
      <c r="W19" s="45">
        <v>0</v>
      </c>
      <c r="X19" s="45">
        <v>0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5.4</v>
      </c>
      <c r="H20" s="45"/>
      <c r="I20" s="45"/>
      <c r="J20" s="45">
        <v>15</v>
      </c>
      <c r="K20" s="45">
        <v>15</v>
      </c>
      <c r="L20" s="45">
        <v>30</v>
      </c>
      <c r="M20" s="45">
        <v>30</v>
      </c>
      <c r="N20" s="45">
        <v>30</v>
      </c>
      <c r="O20" s="45">
        <v>30</v>
      </c>
      <c r="P20" s="45">
        <v>30</v>
      </c>
      <c r="Q20" s="45">
        <v>20</v>
      </c>
      <c r="R20" s="45">
        <v>29.9</v>
      </c>
      <c r="S20" s="45">
        <v>29.9</v>
      </c>
      <c r="T20" s="45">
        <v>29.9</v>
      </c>
      <c r="U20" s="45">
        <v>29.9</v>
      </c>
      <c r="V20" s="45">
        <v>29.9</v>
      </c>
      <c r="W20" s="45">
        <v>29.9</v>
      </c>
      <c r="X20" s="45">
        <v>29.9</v>
      </c>
      <c r="Y20" s="45">
        <v>29.9</v>
      </c>
      <c r="Z20" s="45">
        <v>21.2</v>
      </c>
      <c r="AA20" s="45">
        <v>25</v>
      </c>
      <c r="AB20" s="45">
        <v>25</v>
      </c>
      <c r="AC20" s="45">
        <v>15.4</v>
      </c>
      <c r="AD20" s="45">
        <v>15.4</v>
      </c>
      <c r="AE20" s="45">
        <v>5</v>
      </c>
      <c r="AF20" s="45">
        <v>5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</v>
      </c>
      <c r="C21" s="45">
        <v>20</v>
      </c>
      <c r="D21" s="45">
        <v>20</v>
      </c>
      <c r="E21" s="45">
        <v>20</v>
      </c>
      <c r="F21" s="45">
        <v>20</v>
      </c>
      <c r="G21" s="45">
        <v>20</v>
      </c>
      <c r="H21" s="45"/>
      <c r="I21" s="45"/>
      <c r="J21" s="45">
        <v>20</v>
      </c>
      <c r="K21" s="45">
        <v>33.1</v>
      </c>
      <c r="L21" s="45">
        <v>33.1</v>
      </c>
      <c r="M21" s="45">
        <v>33.1</v>
      </c>
      <c r="N21" s="45">
        <v>33.1</v>
      </c>
      <c r="O21" s="45">
        <v>33.1</v>
      </c>
      <c r="P21" s="45">
        <v>20</v>
      </c>
      <c r="Q21" s="45">
        <v>20</v>
      </c>
      <c r="R21" s="45">
        <v>15</v>
      </c>
      <c r="S21" s="45">
        <v>15</v>
      </c>
      <c r="T21" s="45">
        <v>15</v>
      </c>
      <c r="U21" s="45">
        <v>15</v>
      </c>
      <c r="V21" s="45">
        <v>15</v>
      </c>
      <c r="W21" s="45">
        <v>15</v>
      </c>
      <c r="X21" s="45">
        <v>15</v>
      </c>
      <c r="Y21" s="45">
        <v>33</v>
      </c>
      <c r="Z21" s="45">
        <v>33</v>
      </c>
      <c r="AA21" s="45">
        <v>33</v>
      </c>
      <c r="AB21" s="45">
        <v>33</v>
      </c>
      <c r="AC21" s="45">
        <v>33</v>
      </c>
      <c r="AD21" s="45">
        <v>33</v>
      </c>
      <c r="AE21" s="45">
        <v>25.7</v>
      </c>
      <c r="AF21" s="45">
        <v>25.7</v>
      </c>
      <c r="AG21" s="49">
        <v>24.2</v>
      </c>
      <c r="AH21" s="47">
        <f t="shared" si="2"/>
        <v>33.1</v>
      </c>
      <c r="AI21" s="48">
        <f t="shared" si="3"/>
        <v>15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/>
      <c r="I22" s="45"/>
      <c r="J22" s="45">
        <v>20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19.899999999999999</v>
      </c>
      <c r="Q22" s="45">
        <v>19.899999999999999</v>
      </c>
      <c r="R22" s="45">
        <v>19.899999999999999</v>
      </c>
      <c r="S22" s="45">
        <v>19.899999999999999</v>
      </c>
      <c r="T22" s="45">
        <v>19.899999999999999</v>
      </c>
      <c r="U22" s="45">
        <v>19.899999999999999</v>
      </c>
      <c r="V22" s="45">
        <v>19.899999999999999</v>
      </c>
      <c r="W22" s="45">
        <v>19.899999999999999</v>
      </c>
      <c r="X22" s="45">
        <v>19.899999999999999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19.899999999999999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4.5</v>
      </c>
      <c r="H23" s="45"/>
      <c r="I23" s="45"/>
      <c r="J23" s="45">
        <v>9</v>
      </c>
      <c r="K23" s="45">
        <v>13.5</v>
      </c>
      <c r="L23" s="45">
        <v>27</v>
      </c>
      <c r="M23" s="45">
        <v>27</v>
      </c>
      <c r="N23" s="45">
        <v>27</v>
      </c>
      <c r="O23" s="45">
        <v>27</v>
      </c>
      <c r="P23" s="45">
        <v>18</v>
      </c>
      <c r="Q23" s="45">
        <v>19.899999999999999</v>
      </c>
      <c r="R23" s="45">
        <v>17</v>
      </c>
      <c r="S23" s="45">
        <v>17</v>
      </c>
      <c r="T23" s="45">
        <v>17</v>
      </c>
      <c r="U23" s="45">
        <v>17</v>
      </c>
      <c r="V23" s="45">
        <v>13.5</v>
      </c>
      <c r="W23" s="45">
        <v>13.5</v>
      </c>
      <c r="X23" s="45">
        <v>13.5</v>
      </c>
      <c r="Y23" s="45">
        <v>25</v>
      </c>
      <c r="Z23" s="45">
        <v>20</v>
      </c>
      <c r="AA23" s="45">
        <v>20</v>
      </c>
      <c r="AB23" s="45">
        <v>20</v>
      </c>
      <c r="AC23" s="45">
        <v>14</v>
      </c>
      <c r="AD23" s="45">
        <v>14</v>
      </c>
      <c r="AE23" s="45">
        <v>4.5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/>
      <c r="I24" s="45"/>
      <c r="J24" s="45">
        <v>5</v>
      </c>
      <c r="K24" s="45">
        <v>5</v>
      </c>
      <c r="L24" s="45">
        <v>5</v>
      </c>
      <c r="M24" s="45">
        <v>6.4</v>
      </c>
      <c r="N24" s="45">
        <v>6.4</v>
      </c>
      <c r="O24" s="45">
        <v>6.4</v>
      </c>
      <c r="P24" s="45">
        <v>13</v>
      </c>
      <c r="Q24" s="45">
        <v>13.1</v>
      </c>
      <c r="R24" s="45">
        <v>13.1</v>
      </c>
      <c r="S24" s="45">
        <v>13.1</v>
      </c>
      <c r="T24" s="45">
        <v>13.1</v>
      </c>
      <c r="U24" s="45">
        <v>13.1</v>
      </c>
      <c r="V24" s="45">
        <v>13.1</v>
      </c>
      <c r="W24" s="45">
        <v>13.1</v>
      </c>
      <c r="X24" s="45">
        <v>13.1</v>
      </c>
      <c r="Y24" s="45">
        <v>13.1</v>
      </c>
      <c r="Z24" s="45">
        <v>13.1</v>
      </c>
      <c r="AA24" s="45">
        <v>13.1</v>
      </c>
      <c r="AB24" s="45">
        <v>13.1</v>
      </c>
      <c r="AC24" s="45">
        <v>13.1</v>
      </c>
      <c r="AD24" s="45">
        <v>13.1</v>
      </c>
      <c r="AE24" s="45">
        <v>13.1</v>
      </c>
      <c r="AF24" s="45">
        <v>13.1</v>
      </c>
      <c r="AG24" s="49">
        <v>25</v>
      </c>
      <c r="AH24" s="47">
        <f t="shared" si="2"/>
        <v>24.5</v>
      </c>
      <c r="AI24" s="48">
        <f t="shared" si="3"/>
        <v>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/>
      <c r="I25" s="45"/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/>
      <c r="I26" s="45"/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4.5</v>
      </c>
      <c r="H27" s="45"/>
      <c r="I27" s="45"/>
      <c r="J27" s="45">
        <v>8.5</v>
      </c>
      <c r="K27" s="45">
        <v>12.5</v>
      </c>
      <c r="L27" s="45">
        <v>25</v>
      </c>
      <c r="M27" s="45">
        <v>25</v>
      </c>
      <c r="N27" s="45">
        <v>25</v>
      </c>
      <c r="O27" s="45">
        <v>25</v>
      </c>
      <c r="P27" s="45">
        <v>16</v>
      </c>
      <c r="Q27" s="45">
        <v>16</v>
      </c>
      <c r="R27" s="45">
        <v>16</v>
      </c>
      <c r="S27" s="45">
        <v>16</v>
      </c>
      <c r="T27" s="45">
        <v>16</v>
      </c>
      <c r="U27" s="45">
        <v>16</v>
      </c>
      <c r="V27" s="45">
        <v>12.5</v>
      </c>
      <c r="W27" s="45">
        <v>12.5</v>
      </c>
      <c r="X27" s="45">
        <v>12.5</v>
      </c>
      <c r="Y27" s="45">
        <v>25</v>
      </c>
      <c r="Z27" s="45">
        <v>20</v>
      </c>
      <c r="AA27" s="45">
        <v>20</v>
      </c>
      <c r="AB27" s="45">
        <v>20</v>
      </c>
      <c r="AC27" s="45">
        <v>13</v>
      </c>
      <c r="AD27" s="45">
        <v>13</v>
      </c>
      <c r="AE27" s="45">
        <v>4.5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/>
      <c r="I28" s="45"/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24.9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/>
      <c r="I29" s="45"/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/>
      <c r="I30" s="45"/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/>
      <c r="I31" s="45"/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/>
      <c r="I32" s="45"/>
      <c r="J32" s="45">
        <v>0</v>
      </c>
      <c r="K32" s="45">
        <v>0</v>
      </c>
      <c r="L32" s="45">
        <v>0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/>
      <c r="I33" s="45"/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5</v>
      </c>
      <c r="Y33" s="45">
        <v>10</v>
      </c>
      <c r="Z33" s="45">
        <v>10</v>
      </c>
      <c r="AA33" s="45">
        <v>10</v>
      </c>
      <c r="AB33" s="45">
        <v>5</v>
      </c>
      <c r="AC33" s="45">
        <v>5</v>
      </c>
      <c r="AD33" s="45">
        <v>8</v>
      </c>
      <c r="AE33" s="45">
        <v>8</v>
      </c>
      <c r="AF33" s="45">
        <v>8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3.5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/>
      <c r="I34" s="45"/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3.5</v>
      </c>
      <c r="Q34" s="45">
        <v>3.5</v>
      </c>
      <c r="R34" s="45">
        <v>3.5</v>
      </c>
      <c r="S34" s="45">
        <v>3.5</v>
      </c>
      <c r="T34" s="45">
        <v>3.5</v>
      </c>
      <c r="U34" s="45">
        <v>3.5</v>
      </c>
      <c r="V34" s="45">
        <v>3.5</v>
      </c>
      <c r="W34" s="45">
        <v>3.5</v>
      </c>
      <c r="X34" s="45">
        <v>3.5</v>
      </c>
      <c r="Y34" s="45">
        <v>9</v>
      </c>
      <c r="Z34" s="45">
        <v>9</v>
      </c>
      <c r="AA34" s="45">
        <v>9</v>
      </c>
      <c r="AB34" s="45">
        <v>5</v>
      </c>
      <c r="AC34" s="45">
        <v>5</v>
      </c>
      <c r="AD34" s="45">
        <v>6</v>
      </c>
      <c r="AE34" s="45">
        <v>3.5</v>
      </c>
      <c r="AF34" s="45">
        <v>3.5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/>
      <c r="I35" s="45"/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14</v>
      </c>
      <c r="Q35" s="45">
        <v>14</v>
      </c>
      <c r="R35" s="45">
        <v>14</v>
      </c>
      <c r="S35" s="45">
        <v>14</v>
      </c>
      <c r="T35" s="45">
        <v>14</v>
      </c>
      <c r="U35" s="45">
        <v>14</v>
      </c>
      <c r="V35" s="45">
        <v>14</v>
      </c>
      <c r="W35" s="45">
        <v>14</v>
      </c>
      <c r="X35" s="45">
        <v>14</v>
      </c>
      <c r="Y35" s="45">
        <v>14</v>
      </c>
      <c r="Z35" s="45">
        <v>14</v>
      </c>
      <c r="AA35" s="45">
        <v>14</v>
      </c>
      <c r="AB35" s="45">
        <v>14</v>
      </c>
      <c r="AC35" s="45">
        <v>14</v>
      </c>
      <c r="AD35" s="45">
        <v>14</v>
      </c>
      <c r="AE35" s="45">
        <v>14</v>
      </c>
      <c r="AF35" s="45">
        <v>14</v>
      </c>
      <c r="AG35" s="49">
        <v>14.9</v>
      </c>
      <c r="AH35" s="47">
        <f t="shared" si="2"/>
        <v>15</v>
      </c>
      <c r="AI35" s="48">
        <f t="shared" si="3"/>
        <v>14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/>
      <c r="I36" s="45"/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/>
      <c r="I37" s="45"/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/>
      <c r="I38" s="45"/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2</v>
      </c>
      <c r="H39" s="45"/>
      <c r="I39" s="45"/>
      <c r="J39" s="45">
        <v>2</v>
      </c>
      <c r="K39" s="45">
        <v>6</v>
      </c>
      <c r="L39" s="45">
        <v>12</v>
      </c>
      <c r="M39" s="45">
        <v>12</v>
      </c>
      <c r="N39" s="45">
        <v>12</v>
      </c>
      <c r="O39" s="45">
        <v>12</v>
      </c>
      <c r="P39" s="45">
        <v>9</v>
      </c>
      <c r="Q39" s="45">
        <v>9</v>
      </c>
      <c r="R39" s="45">
        <v>9</v>
      </c>
      <c r="S39" s="45">
        <v>9</v>
      </c>
      <c r="T39" s="45">
        <v>9</v>
      </c>
      <c r="U39" s="45">
        <v>9</v>
      </c>
      <c r="V39" s="45">
        <v>5</v>
      </c>
      <c r="W39" s="45">
        <v>5</v>
      </c>
      <c r="X39" s="45">
        <v>5</v>
      </c>
      <c r="Y39" s="45">
        <v>12</v>
      </c>
      <c r="Z39" s="45">
        <v>10</v>
      </c>
      <c r="AA39" s="45">
        <v>10</v>
      </c>
      <c r="AB39" s="45">
        <v>10</v>
      </c>
      <c r="AC39" s="45">
        <v>6</v>
      </c>
      <c r="AD39" s="45">
        <v>6</v>
      </c>
      <c r="AE39" s="45">
        <v>2</v>
      </c>
      <c r="AF39" s="45">
        <v>2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/>
      <c r="I40" s="45"/>
      <c r="J40" s="45">
        <v>12</v>
      </c>
      <c r="K40" s="45">
        <v>12</v>
      </c>
      <c r="L40" s="45">
        <v>12</v>
      </c>
      <c r="M40" s="45">
        <v>4.2</v>
      </c>
      <c r="N40" s="45">
        <v>4.2</v>
      </c>
      <c r="O40" s="45">
        <v>4.2</v>
      </c>
      <c r="P40" s="45">
        <v>4.2</v>
      </c>
      <c r="Q40" s="45">
        <v>4.2</v>
      </c>
      <c r="R40" s="45">
        <v>4.2</v>
      </c>
      <c r="S40" s="45">
        <v>4.2</v>
      </c>
      <c r="T40" s="45">
        <v>4.2</v>
      </c>
      <c r="U40" s="45">
        <v>4.2</v>
      </c>
      <c r="V40" s="45">
        <v>4.2</v>
      </c>
      <c r="W40" s="45">
        <v>4.2</v>
      </c>
      <c r="X40" s="45">
        <v>4.2</v>
      </c>
      <c r="Y40" s="45">
        <v>4.2</v>
      </c>
      <c r="Z40" s="45">
        <v>4.2</v>
      </c>
      <c r="AA40" s="45">
        <v>4.2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4.2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/>
      <c r="I41" s="45"/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/>
      <c r="I42" s="45"/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/>
      <c r="I43" s="45"/>
      <c r="J43" s="45">
        <v>3</v>
      </c>
      <c r="K43" s="45">
        <v>3</v>
      </c>
      <c r="L43" s="45">
        <v>3</v>
      </c>
      <c r="M43" s="45">
        <v>3</v>
      </c>
      <c r="N43" s="45">
        <v>3</v>
      </c>
      <c r="O43" s="45">
        <v>3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3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/>
      <c r="I44" s="45"/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/>
      <c r="I45" s="45"/>
      <c r="J45" s="45">
        <v>6</v>
      </c>
      <c r="K45" s="45">
        <v>6</v>
      </c>
      <c r="L45" s="45">
        <v>6</v>
      </c>
      <c r="M45" s="45">
        <v>6</v>
      </c>
      <c r="N45" s="45">
        <v>6</v>
      </c>
      <c r="O45" s="45">
        <v>6</v>
      </c>
      <c r="P45" s="45">
        <v>9</v>
      </c>
      <c r="Q45" s="45">
        <v>9</v>
      </c>
      <c r="R45" s="45">
        <v>9</v>
      </c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10</v>
      </c>
      <c r="AI45" s="48">
        <f t="shared" si="3"/>
        <v>6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/>
      <c r="I46" s="45"/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/>
      <c r="I47" s="45"/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/>
      <c r="I48" s="56"/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133</v>
      </c>
      <c r="C49" s="56">
        <v>133</v>
      </c>
      <c r="D49" s="56">
        <v>135.4</v>
      </c>
      <c r="E49" s="56">
        <f>38.5+97.2</f>
        <v>135.69999999999999</v>
      </c>
      <c r="F49" s="56">
        <f>38.5+97.2</f>
        <v>135.69999999999999</v>
      </c>
      <c r="G49" s="56">
        <f>38.5+97.2</f>
        <v>135.69999999999999</v>
      </c>
      <c r="H49" s="56"/>
      <c r="I49" s="56"/>
      <c r="J49" s="56">
        <f>38.5+97.2</f>
        <v>135.69999999999999</v>
      </c>
      <c r="K49" s="56">
        <f>38.5+97.2</f>
        <v>135.69999999999999</v>
      </c>
      <c r="L49" s="56">
        <f>38.5+97.2</f>
        <v>135.69999999999999</v>
      </c>
      <c r="M49" s="56">
        <v>129.30000000000001</v>
      </c>
      <c r="N49" s="56">
        <v>129.30000000000001</v>
      </c>
      <c r="O49" s="56">
        <v>129.30000000000001</v>
      </c>
      <c r="P49" s="56">
        <v>122</v>
      </c>
      <c r="Q49" s="56">
        <v>122</v>
      </c>
      <c r="R49" s="56">
        <v>122</v>
      </c>
      <c r="S49" s="56">
        <v>122</v>
      </c>
      <c r="T49" s="56">
        <v>122</v>
      </c>
      <c r="U49" s="56">
        <v>122</v>
      </c>
      <c r="V49" s="56">
        <v>122</v>
      </c>
      <c r="W49" s="56">
        <v>122</v>
      </c>
      <c r="X49" s="56">
        <v>122</v>
      </c>
      <c r="Y49" s="56">
        <v>122</v>
      </c>
      <c r="Z49" s="56">
        <v>122</v>
      </c>
      <c r="AA49" s="56">
        <v>122</v>
      </c>
      <c r="AB49" s="56">
        <f>33.5+82</f>
        <v>115.5</v>
      </c>
      <c r="AC49" s="56">
        <f>33.5+82</f>
        <v>115.5</v>
      </c>
      <c r="AD49" s="56">
        <f>34.1+83</f>
        <v>117.1</v>
      </c>
      <c r="AE49" s="56">
        <v>118.2</v>
      </c>
      <c r="AF49" s="56">
        <v>118.2</v>
      </c>
      <c r="AG49" s="54">
        <v>240</v>
      </c>
      <c r="AH49" s="47">
        <f t="shared" si="2"/>
        <v>135.69999999999999</v>
      </c>
      <c r="AI49" s="48">
        <f t="shared" si="3"/>
        <v>115.5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1064.5999999999999</v>
      </c>
      <c r="C50" s="60">
        <f t="shared" si="4"/>
        <v>1057.0999999999999</v>
      </c>
      <c r="D50" s="60">
        <f t="shared" si="4"/>
        <v>1057.0999999999999</v>
      </c>
      <c r="E50" s="60">
        <f t="shared" si="4"/>
        <v>1057.0999999999999</v>
      </c>
      <c r="F50" s="60">
        <f t="shared" si="4"/>
        <v>1057.0999999999999</v>
      </c>
      <c r="G50" s="60">
        <f t="shared" si="4"/>
        <v>1082.5</v>
      </c>
      <c r="H50" s="60">
        <f>SUM(H11:H48)</f>
        <v>0</v>
      </c>
      <c r="I50" s="60">
        <f t="shared" si="4"/>
        <v>0</v>
      </c>
      <c r="J50" s="60">
        <f>SUM(J11:J48)</f>
        <v>990.6</v>
      </c>
      <c r="K50" s="60">
        <f t="shared" si="4"/>
        <v>1033.7</v>
      </c>
      <c r="L50" s="60">
        <f t="shared" si="4"/>
        <v>1080.7000000000003</v>
      </c>
      <c r="M50" s="60">
        <f>SUM(M11:M48)</f>
        <v>1096.3000000000002</v>
      </c>
      <c r="N50" s="60">
        <f t="shared" si="4"/>
        <v>1096.3000000000002</v>
      </c>
      <c r="O50" s="60">
        <f t="shared" si="4"/>
        <v>1096.3000000000002</v>
      </c>
      <c r="P50" s="60">
        <f>SUM(P11:P48)</f>
        <v>1134.5900000000001</v>
      </c>
      <c r="Q50" s="60">
        <f>SUM(Q11:Q48)</f>
        <v>1126.5900000000001</v>
      </c>
      <c r="R50" s="60">
        <f t="shared" si="4"/>
        <v>1128.5900000000001</v>
      </c>
      <c r="S50" s="60">
        <f t="shared" ref="S50:AA50" si="5">SUM(S11:S48)</f>
        <v>1128.5900000000001</v>
      </c>
      <c r="T50" s="60">
        <f t="shared" si="5"/>
        <v>1130.0999999999999</v>
      </c>
      <c r="U50" s="60">
        <f t="shared" si="5"/>
        <v>1130.0999999999999</v>
      </c>
      <c r="V50" s="60">
        <f t="shared" si="5"/>
        <v>1097.1000000000001</v>
      </c>
      <c r="W50" s="60">
        <f t="shared" si="5"/>
        <v>1094.1000000000001</v>
      </c>
      <c r="X50" s="60">
        <f t="shared" si="5"/>
        <v>1094.1000000000001</v>
      </c>
      <c r="Y50" s="60">
        <f t="shared" si="5"/>
        <v>1186.3000000000002</v>
      </c>
      <c r="Z50" s="60">
        <f t="shared" si="5"/>
        <v>1165.6000000000001</v>
      </c>
      <c r="AA50" s="60">
        <f t="shared" si="5"/>
        <v>1169.4000000000001</v>
      </c>
      <c r="AB50" s="60">
        <f t="shared" si="4"/>
        <v>1167.4000000000001</v>
      </c>
      <c r="AC50" s="60">
        <f t="shared" si="4"/>
        <v>1114.0999999999999</v>
      </c>
      <c r="AD50" s="60">
        <f t="shared" si="4"/>
        <v>1098.0999999999999</v>
      </c>
      <c r="AE50" s="60">
        <f t="shared" si="4"/>
        <v>1051.9000000000001</v>
      </c>
      <c r="AF50" s="60">
        <f t="shared" si="4"/>
        <v>1033.9000000000001</v>
      </c>
      <c r="AG50" s="61">
        <f>SUM(AG13:AG48)</f>
        <v>922.14</v>
      </c>
      <c r="AH50" s="47">
        <f t="shared" si="2"/>
        <v>1186.3000000000002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/>
      <c r="I51" s="45"/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/>
      <c r="I52" s="64"/>
      <c r="J52" s="64">
        <v>50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/>
      <c r="I53" s="66"/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528.4</v>
      </c>
      <c r="C54" s="60">
        <f t="shared" si="6"/>
        <v>528.4</v>
      </c>
      <c r="D54" s="60">
        <f t="shared" si="6"/>
        <v>528.4</v>
      </c>
      <c r="E54" s="60">
        <f t="shared" si="6"/>
        <v>528.4</v>
      </c>
      <c r="F54" s="60">
        <f t="shared" si="6"/>
        <v>528.4</v>
      </c>
      <c r="G54" s="60">
        <f t="shared" si="6"/>
        <v>528.4</v>
      </c>
      <c r="H54" s="60">
        <f t="shared" si="6"/>
        <v>0</v>
      </c>
      <c r="I54" s="60">
        <f t="shared" si="6"/>
        <v>0</v>
      </c>
      <c r="J54" s="60">
        <f t="shared" si="6"/>
        <v>528.4</v>
      </c>
      <c r="K54" s="60">
        <f t="shared" si="6"/>
        <v>538.4</v>
      </c>
      <c r="L54" s="60">
        <f t="shared" si="6"/>
        <v>538.4</v>
      </c>
      <c r="M54" s="60">
        <f>SUM(M51:M53)</f>
        <v>538.4</v>
      </c>
      <c r="N54" s="60">
        <f t="shared" si="6"/>
        <v>538.4</v>
      </c>
      <c r="O54" s="60">
        <f t="shared" si="6"/>
        <v>538.4</v>
      </c>
      <c r="P54" s="60">
        <f>SUM(P51:P53)</f>
        <v>538.4</v>
      </c>
      <c r="Q54" s="60">
        <f>SUM(Q51:Q53)</f>
        <v>538.4</v>
      </c>
      <c r="R54" s="60">
        <f t="shared" si="6"/>
        <v>538.4</v>
      </c>
      <c r="S54" s="60">
        <f t="shared" ref="S54:AA54" si="7">SUM(S51:S53)</f>
        <v>538.4</v>
      </c>
      <c r="T54" s="60">
        <f t="shared" si="7"/>
        <v>538.4</v>
      </c>
      <c r="U54" s="60">
        <f t="shared" si="7"/>
        <v>538.4</v>
      </c>
      <c r="V54" s="60">
        <f t="shared" si="7"/>
        <v>538.4</v>
      </c>
      <c r="W54" s="60">
        <f t="shared" si="7"/>
        <v>538.4</v>
      </c>
      <c r="X54" s="60">
        <f t="shared" si="7"/>
        <v>538.4</v>
      </c>
      <c r="Y54" s="60">
        <f t="shared" si="7"/>
        <v>538.4</v>
      </c>
      <c r="Z54" s="60">
        <f t="shared" si="7"/>
        <v>538.4</v>
      </c>
      <c r="AA54" s="60">
        <f t="shared" si="7"/>
        <v>538.4</v>
      </c>
      <c r="AB54" s="60">
        <f t="shared" si="6"/>
        <v>538.4</v>
      </c>
      <c r="AC54" s="60">
        <f t="shared" si="6"/>
        <v>538.4</v>
      </c>
      <c r="AD54" s="60">
        <f t="shared" si="6"/>
        <v>538.4</v>
      </c>
      <c r="AE54" s="60">
        <f t="shared" si="6"/>
        <v>538.4</v>
      </c>
      <c r="AF54" s="60">
        <f t="shared" si="6"/>
        <v>538.4</v>
      </c>
      <c r="AG54" s="61">
        <f t="shared" si="6"/>
        <v>538.1</v>
      </c>
      <c r="AH54" s="47">
        <f t="shared" si="2"/>
        <v>538.4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143.9</v>
      </c>
      <c r="C55" s="45">
        <v>143.9</v>
      </c>
      <c r="D55" s="45">
        <v>143.9</v>
      </c>
      <c r="E55" s="45">
        <v>142.30000000000001</v>
      </c>
      <c r="F55" s="45">
        <v>143</v>
      </c>
      <c r="G55" s="45">
        <v>144</v>
      </c>
      <c r="H55" s="45"/>
      <c r="I55" s="45"/>
      <c r="J55" s="45">
        <v>144</v>
      </c>
      <c r="K55" s="45">
        <v>144</v>
      </c>
      <c r="L55" s="45">
        <v>144</v>
      </c>
      <c r="M55" s="45">
        <v>144</v>
      </c>
      <c r="N55" s="45">
        <v>144</v>
      </c>
      <c r="O55" s="45">
        <v>144</v>
      </c>
      <c r="P55" s="45">
        <v>144</v>
      </c>
      <c r="Q55" s="45">
        <v>144</v>
      </c>
      <c r="R55" s="45">
        <v>144</v>
      </c>
      <c r="S55" s="45">
        <v>143.80000000000001</v>
      </c>
      <c r="T55" s="45">
        <v>143.80000000000001</v>
      </c>
      <c r="U55" s="45">
        <v>143.80000000000001</v>
      </c>
      <c r="V55" s="45">
        <v>143.80000000000001</v>
      </c>
      <c r="W55" s="45">
        <v>145.1</v>
      </c>
      <c r="X55" s="45">
        <v>145.1</v>
      </c>
      <c r="Y55" s="45">
        <v>144.4</v>
      </c>
      <c r="Z55" s="45">
        <v>144.9</v>
      </c>
      <c r="AA55" s="45">
        <v>144.9</v>
      </c>
      <c r="AB55" s="45">
        <v>144.9</v>
      </c>
      <c r="AC55" s="45">
        <v>144.9</v>
      </c>
      <c r="AD55" s="45">
        <v>144.9</v>
      </c>
      <c r="AE55" s="45">
        <v>144.9</v>
      </c>
      <c r="AF55" s="45">
        <v>144.9</v>
      </c>
      <c r="AG55" s="51">
        <v>144</v>
      </c>
      <c r="AH55" s="47">
        <f t="shared" si="2"/>
        <v>145.1</v>
      </c>
      <c r="AI55" s="48">
        <f t="shared" si="3"/>
        <v>142.30000000000001</v>
      </c>
      <c r="AK55" s="50"/>
    </row>
    <row r="56" spans="1:41" x14ac:dyDescent="0.25">
      <c r="A56" s="53" t="s">
        <v>64</v>
      </c>
      <c r="B56" s="64">
        <v>61.2</v>
      </c>
      <c r="C56" s="64">
        <v>70.099999999999994</v>
      </c>
      <c r="D56" s="64">
        <v>70.099999999999994</v>
      </c>
      <c r="E56" s="64">
        <v>68.8</v>
      </c>
      <c r="F56" s="64">
        <v>70.099999999999994</v>
      </c>
      <c r="G56" s="64">
        <v>68.900000000000006</v>
      </c>
      <c r="H56" s="64"/>
      <c r="I56" s="64"/>
      <c r="J56" s="64">
        <v>68.900000000000006</v>
      </c>
      <c r="K56" s="64">
        <v>70.400000000000006</v>
      </c>
      <c r="L56" s="64">
        <v>70.400000000000006</v>
      </c>
      <c r="M56" s="64">
        <v>70.400000000000006</v>
      </c>
      <c r="N56" s="64">
        <v>70.400000000000006</v>
      </c>
      <c r="O56" s="64">
        <v>70.400000000000006</v>
      </c>
      <c r="P56" s="64">
        <v>70.400000000000006</v>
      </c>
      <c r="Q56" s="64">
        <v>70.400000000000006</v>
      </c>
      <c r="R56" s="64">
        <v>70.400000000000006</v>
      </c>
      <c r="S56" s="64">
        <v>66.599999999999994</v>
      </c>
      <c r="T56" s="64">
        <v>66.599999999999994</v>
      </c>
      <c r="U56" s="64">
        <v>70.599999999999994</v>
      </c>
      <c r="V56" s="64">
        <v>70.599999999999994</v>
      </c>
      <c r="W56" s="64">
        <v>71.5</v>
      </c>
      <c r="X56" s="64">
        <v>71.5</v>
      </c>
      <c r="Y56" s="64">
        <v>68.8</v>
      </c>
      <c r="Z56" s="64">
        <v>64.900000000000006</v>
      </c>
      <c r="AA56" s="64">
        <v>64.900000000000006</v>
      </c>
      <c r="AB56" s="45">
        <v>69.3</v>
      </c>
      <c r="AC56" s="45">
        <v>69.3</v>
      </c>
      <c r="AD56" s="45">
        <v>69.3</v>
      </c>
      <c r="AE56" s="45">
        <v>69.3</v>
      </c>
      <c r="AF56" s="45">
        <v>69.3</v>
      </c>
      <c r="AG56" s="54">
        <v>70</v>
      </c>
      <c r="AH56" s="47">
        <f t="shared" si="2"/>
        <v>71.5</v>
      </c>
      <c r="AI56" s="48">
        <f t="shared" si="3"/>
        <v>61.2</v>
      </c>
      <c r="AK56" s="50"/>
    </row>
    <row r="57" spans="1:41" x14ac:dyDescent="0.25">
      <c r="A57" s="53" t="s">
        <v>65</v>
      </c>
      <c r="B57" s="64">
        <v>62.2</v>
      </c>
      <c r="C57" s="64">
        <v>65.400000000000006</v>
      </c>
      <c r="D57" s="64">
        <v>65.400000000000006</v>
      </c>
      <c r="E57" s="64">
        <v>65.7</v>
      </c>
      <c r="F57" s="64">
        <v>53.5</v>
      </c>
      <c r="G57" s="64">
        <v>64.8</v>
      </c>
      <c r="H57" s="64"/>
      <c r="I57" s="64"/>
      <c r="J57" s="64">
        <v>64.8</v>
      </c>
      <c r="K57" s="64">
        <v>66.099999999999994</v>
      </c>
      <c r="L57" s="64">
        <v>66.099999999999994</v>
      </c>
      <c r="M57" s="64">
        <v>66.099999999999994</v>
      </c>
      <c r="N57" s="64">
        <v>66.099999999999994</v>
      </c>
      <c r="O57" s="64">
        <v>66.099999999999994</v>
      </c>
      <c r="P57" s="64">
        <v>66.099999999999994</v>
      </c>
      <c r="Q57" s="64">
        <v>66.099999999999994</v>
      </c>
      <c r="R57" s="64">
        <v>66.099999999999994</v>
      </c>
      <c r="S57" s="64">
        <v>65.599999999999994</v>
      </c>
      <c r="T57" s="64">
        <v>65.599999999999994</v>
      </c>
      <c r="U57" s="64">
        <v>65.599999999999994</v>
      </c>
      <c r="V57" s="64">
        <v>65.599999999999994</v>
      </c>
      <c r="W57" s="64">
        <v>66</v>
      </c>
      <c r="X57" s="64">
        <v>66</v>
      </c>
      <c r="Y57" s="64">
        <v>65.400000000000006</v>
      </c>
      <c r="Z57" s="64">
        <v>60.9</v>
      </c>
      <c r="AA57" s="64">
        <v>60.9</v>
      </c>
      <c r="AB57" s="45">
        <v>65.3</v>
      </c>
      <c r="AC57" s="45">
        <v>65.3</v>
      </c>
      <c r="AD57" s="45">
        <v>66.3</v>
      </c>
      <c r="AE57" s="45">
        <v>66.3</v>
      </c>
      <c r="AF57" s="45">
        <v>66.3</v>
      </c>
      <c r="AG57" s="54">
        <v>69</v>
      </c>
      <c r="AH57" s="47">
        <f t="shared" si="2"/>
        <v>66.3</v>
      </c>
      <c r="AI57" s="48">
        <f t="shared" si="3"/>
        <v>53.5</v>
      </c>
      <c r="AK57" s="50"/>
    </row>
    <row r="58" spans="1:41" x14ac:dyDescent="0.25">
      <c r="A58" s="53" t="s">
        <v>66</v>
      </c>
      <c r="B58" s="64">
        <v>61</v>
      </c>
      <c r="C58" s="64">
        <v>61</v>
      </c>
      <c r="D58" s="64">
        <v>61</v>
      </c>
      <c r="E58" s="64">
        <v>62</v>
      </c>
      <c r="F58" s="56">
        <v>62</v>
      </c>
      <c r="G58" s="56">
        <v>62</v>
      </c>
      <c r="H58" s="56"/>
      <c r="I58" s="56"/>
      <c r="J58" s="56">
        <v>62</v>
      </c>
      <c r="K58" s="56">
        <v>61.2</v>
      </c>
      <c r="L58" s="56">
        <v>61.2</v>
      </c>
      <c r="M58" s="56">
        <v>61.2</v>
      </c>
      <c r="N58" s="56">
        <v>61.2</v>
      </c>
      <c r="O58" s="56">
        <v>61.2</v>
      </c>
      <c r="P58" s="56">
        <v>61.2</v>
      </c>
      <c r="Q58" s="56">
        <v>61.2</v>
      </c>
      <c r="R58" s="56">
        <v>61.2</v>
      </c>
      <c r="S58" s="56">
        <v>61.2</v>
      </c>
      <c r="T58" s="56">
        <v>61.2</v>
      </c>
      <c r="U58" s="56">
        <v>61.2</v>
      </c>
      <c r="V58" s="56">
        <v>61.2</v>
      </c>
      <c r="W58" s="56">
        <v>61.2</v>
      </c>
      <c r="X58" s="56">
        <v>61.2</v>
      </c>
      <c r="Y58" s="56">
        <v>61.2</v>
      </c>
      <c r="Z58" s="56">
        <v>61.2</v>
      </c>
      <c r="AA58" s="56">
        <v>61.2</v>
      </c>
      <c r="AB58" s="45">
        <v>60.9</v>
      </c>
      <c r="AC58" s="45">
        <v>60.9</v>
      </c>
      <c r="AD58" s="45">
        <v>60.9</v>
      </c>
      <c r="AE58" s="45">
        <v>60.9</v>
      </c>
      <c r="AF58" s="45">
        <v>60.9</v>
      </c>
      <c r="AG58" s="54">
        <v>60</v>
      </c>
      <c r="AH58" s="47">
        <f t="shared" si="2"/>
        <v>62</v>
      </c>
      <c r="AI58" s="48">
        <f t="shared" si="3"/>
        <v>60.9</v>
      </c>
      <c r="AK58" s="50"/>
    </row>
    <row r="59" spans="1:41" x14ac:dyDescent="0.25">
      <c r="A59" s="53" t="s">
        <v>67</v>
      </c>
      <c r="B59" s="64">
        <v>26</v>
      </c>
      <c r="C59" s="64">
        <v>30</v>
      </c>
      <c r="D59" s="64">
        <v>30</v>
      </c>
      <c r="E59" s="64">
        <v>30</v>
      </c>
      <c r="F59" s="56">
        <v>30</v>
      </c>
      <c r="G59" s="56">
        <v>30</v>
      </c>
      <c r="H59" s="56"/>
      <c r="I59" s="56"/>
      <c r="J59" s="56">
        <v>30</v>
      </c>
      <c r="K59" s="56">
        <v>30</v>
      </c>
      <c r="L59" s="56">
        <v>30</v>
      </c>
      <c r="M59" s="56">
        <v>30</v>
      </c>
      <c r="N59" s="56">
        <v>30</v>
      </c>
      <c r="O59" s="56">
        <v>30</v>
      </c>
      <c r="P59" s="56">
        <v>24</v>
      </c>
      <c r="Q59" s="56">
        <v>30</v>
      </c>
      <c r="R59" s="56">
        <v>30</v>
      </c>
      <c r="S59" s="56">
        <v>30</v>
      </c>
      <c r="T59" s="56">
        <v>30</v>
      </c>
      <c r="U59" s="56">
        <v>30</v>
      </c>
      <c r="V59" s="56">
        <v>30</v>
      </c>
      <c r="W59" s="56">
        <v>30</v>
      </c>
      <c r="X59" s="56">
        <v>30</v>
      </c>
      <c r="Y59" s="56">
        <v>30</v>
      </c>
      <c r="Z59" s="56">
        <v>30</v>
      </c>
      <c r="AA59" s="56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24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/>
      <c r="I60" s="64"/>
      <c r="J60" s="64">
        <v>0</v>
      </c>
      <c r="K60" s="64">
        <v>0</v>
      </c>
      <c r="L60" s="64">
        <v>1.4</v>
      </c>
      <c r="M60" s="64">
        <v>1.9</v>
      </c>
      <c r="N60" s="64">
        <v>5</v>
      </c>
      <c r="O60" s="64">
        <v>6.5</v>
      </c>
      <c r="P60" s="64">
        <v>7.8</v>
      </c>
      <c r="Q60" s="64">
        <v>7.8</v>
      </c>
      <c r="R60" s="64">
        <v>7.8</v>
      </c>
      <c r="S60" s="64">
        <v>7.2</v>
      </c>
      <c r="T60" s="64">
        <v>6.2</v>
      </c>
      <c r="U60" s="64">
        <v>6.3</v>
      </c>
      <c r="V60" s="64">
        <v>6.3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7.8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/>
      <c r="I61" s="64"/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16</v>
      </c>
      <c r="S61" s="64">
        <v>16</v>
      </c>
      <c r="T61" s="64">
        <v>16</v>
      </c>
      <c r="U61" s="64">
        <v>16</v>
      </c>
      <c r="V61" s="64">
        <v>16</v>
      </c>
      <c r="W61" s="64">
        <v>16</v>
      </c>
      <c r="X61" s="64">
        <v>16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16</v>
      </c>
      <c r="AK61" s="50"/>
    </row>
    <row r="62" spans="1:41" x14ac:dyDescent="0.25">
      <c r="A62" s="53" t="s">
        <v>70</v>
      </c>
      <c r="B62" s="64">
        <v>4.2</v>
      </c>
      <c r="C62" s="64">
        <v>4.2</v>
      </c>
      <c r="D62" s="64">
        <v>4.2</v>
      </c>
      <c r="E62" s="64">
        <v>4.2</v>
      </c>
      <c r="F62" s="64">
        <v>4.2</v>
      </c>
      <c r="G62" s="64">
        <v>4.2</v>
      </c>
      <c r="H62" s="64"/>
      <c r="I62" s="64"/>
      <c r="J62" s="64">
        <v>4.2</v>
      </c>
      <c r="K62" s="64">
        <v>4.2</v>
      </c>
      <c r="L62" s="64">
        <v>4.2</v>
      </c>
      <c r="M62" s="64">
        <v>4.2</v>
      </c>
      <c r="N62" s="64">
        <v>4.2</v>
      </c>
      <c r="O62" s="64">
        <v>4.2</v>
      </c>
      <c r="P62" s="64">
        <v>4.2</v>
      </c>
      <c r="Q62" s="64">
        <v>4.2</v>
      </c>
      <c r="R62" s="64">
        <v>4.2</v>
      </c>
      <c r="S62" s="64">
        <v>4.2</v>
      </c>
      <c r="T62" s="64">
        <v>4.2</v>
      </c>
      <c r="U62" s="64">
        <v>4.2</v>
      </c>
      <c r="V62" s="64">
        <v>4.2</v>
      </c>
      <c r="W62" s="64">
        <v>4.2</v>
      </c>
      <c r="X62" s="64">
        <v>4.2</v>
      </c>
      <c r="Y62" s="64">
        <v>4.2</v>
      </c>
      <c r="Z62" s="64">
        <v>4.2</v>
      </c>
      <c r="AA62" s="64">
        <v>4.2</v>
      </c>
      <c r="AB62" s="64">
        <v>4.2</v>
      </c>
      <c r="AC62" s="64">
        <v>4.2</v>
      </c>
      <c r="AD62" s="64">
        <v>4.2</v>
      </c>
      <c r="AE62" s="64">
        <v>4.2</v>
      </c>
      <c r="AF62" s="64">
        <v>4.2</v>
      </c>
      <c r="AG62" s="54">
        <v>15</v>
      </c>
      <c r="AH62" s="47">
        <f t="shared" si="2"/>
        <v>4.2</v>
      </c>
      <c r="AI62" s="48">
        <f t="shared" si="3"/>
        <v>4.2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6.9</v>
      </c>
      <c r="C63" s="64">
        <v>6.9</v>
      </c>
      <c r="D63" s="64">
        <v>6.9</v>
      </c>
      <c r="E63" s="64">
        <v>6.9</v>
      </c>
      <c r="F63" s="64">
        <v>6.9</v>
      </c>
      <c r="G63" s="64">
        <v>6.9</v>
      </c>
      <c r="H63" s="64"/>
      <c r="I63" s="64"/>
      <c r="J63" s="64">
        <v>6.9</v>
      </c>
      <c r="K63" s="64">
        <v>6.9</v>
      </c>
      <c r="L63" s="64">
        <v>6.9</v>
      </c>
      <c r="M63" s="64">
        <v>6.9</v>
      </c>
      <c r="N63" s="64">
        <v>6.9</v>
      </c>
      <c r="O63" s="64">
        <v>6.9</v>
      </c>
      <c r="P63" s="64">
        <v>6.9</v>
      </c>
      <c r="Q63" s="64">
        <v>6.9</v>
      </c>
      <c r="R63" s="64">
        <v>6.9</v>
      </c>
      <c r="S63" s="64">
        <v>4.9000000000000004</v>
      </c>
      <c r="T63" s="64">
        <v>4.9000000000000004</v>
      </c>
      <c r="U63" s="64">
        <v>4.9000000000000004</v>
      </c>
      <c r="V63" s="64">
        <v>4.9000000000000004</v>
      </c>
      <c r="W63" s="64">
        <v>4.9000000000000004</v>
      </c>
      <c r="X63" s="64">
        <v>4.9000000000000004</v>
      </c>
      <c r="Y63" s="64">
        <v>4.9000000000000004</v>
      </c>
      <c r="Z63" s="64">
        <v>4.9000000000000004</v>
      </c>
      <c r="AA63" s="64">
        <v>4.9000000000000004</v>
      </c>
      <c r="AB63" s="64">
        <v>10.5</v>
      </c>
      <c r="AC63" s="64">
        <v>10.5</v>
      </c>
      <c r="AD63" s="64">
        <v>10.5</v>
      </c>
      <c r="AE63" s="64">
        <v>10.5</v>
      </c>
      <c r="AF63" s="64">
        <v>10.5</v>
      </c>
      <c r="AG63" s="54">
        <v>14.1</v>
      </c>
      <c r="AH63" s="47">
        <f t="shared" si="2"/>
        <v>10.5</v>
      </c>
      <c r="AI63" s="48">
        <f t="shared" si="3"/>
        <v>4.9000000000000004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6.8</v>
      </c>
      <c r="C64" s="64">
        <v>6.8</v>
      </c>
      <c r="D64" s="64">
        <v>6.8</v>
      </c>
      <c r="E64" s="64">
        <v>6.8</v>
      </c>
      <c r="F64" s="64">
        <v>6.8</v>
      </c>
      <c r="G64" s="64">
        <v>6.8</v>
      </c>
      <c r="H64" s="64"/>
      <c r="I64" s="64"/>
      <c r="J64" s="64">
        <v>6.8</v>
      </c>
      <c r="K64" s="64">
        <v>6.8</v>
      </c>
      <c r="L64" s="64">
        <v>6.8</v>
      </c>
      <c r="M64" s="64">
        <v>6.8</v>
      </c>
      <c r="N64" s="64">
        <v>6.8</v>
      </c>
      <c r="O64" s="64">
        <v>6.8</v>
      </c>
      <c r="P64" s="64">
        <v>6.8</v>
      </c>
      <c r="Q64" s="64">
        <v>6.8</v>
      </c>
      <c r="R64" s="64">
        <v>6.8</v>
      </c>
      <c r="S64" s="64">
        <v>6.8</v>
      </c>
      <c r="T64" s="64">
        <v>6.8</v>
      </c>
      <c r="U64" s="64">
        <v>6.8</v>
      </c>
      <c r="V64" s="64">
        <v>6.8</v>
      </c>
      <c r="W64" s="64">
        <v>6.8</v>
      </c>
      <c r="X64" s="64">
        <v>6.8</v>
      </c>
      <c r="Y64" s="64">
        <v>6.8</v>
      </c>
      <c r="Z64" s="64">
        <v>6.8</v>
      </c>
      <c r="AA64" s="64">
        <v>6.8</v>
      </c>
      <c r="AB64" s="64">
        <v>13.7</v>
      </c>
      <c r="AC64" s="64">
        <v>13.7</v>
      </c>
      <c r="AD64" s="64">
        <v>13.7</v>
      </c>
      <c r="AE64" s="64">
        <v>13.7</v>
      </c>
      <c r="AF64" s="64">
        <v>13.7</v>
      </c>
      <c r="AG64" s="54">
        <v>14</v>
      </c>
      <c r="AH64" s="47">
        <f t="shared" si="2"/>
        <v>13.7</v>
      </c>
      <c r="AI64" s="48">
        <f t="shared" si="3"/>
        <v>6.8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/>
      <c r="I65" s="64"/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/>
      <c r="I66" s="64"/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407.14</v>
      </c>
      <c r="C68" s="60">
        <f t="shared" si="8"/>
        <v>423.23999999999995</v>
      </c>
      <c r="D68" s="60">
        <f t="shared" si="8"/>
        <v>423.23999999999995</v>
      </c>
      <c r="E68" s="60">
        <f t="shared" si="8"/>
        <v>421.64</v>
      </c>
      <c r="F68" s="60">
        <f t="shared" si="8"/>
        <v>411.44</v>
      </c>
      <c r="G68" s="60">
        <f t="shared" si="8"/>
        <v>422.53999999999996</v>
      </c>
      <c r="H68" s="60">
        <f t="shared" si="8"/>
        <v>3.54</v>
      </c>
      <c r="I68" s="60">
        <f t="shared" si="8"/>
        <v>3.54</v>
      </c>
      <c r="J68" s="60">
        <f>SUM(J55:J67)</f>
        <v>422.53999999999996</v>
      </c>
      <c r="K68" s="60">
        <f t="shared" si="8"/>
        <v>424.53999999999996</v>
      </c>
      <c r="L68" s="60">
        <f t="shared" si="8"/>
        <v>425.93999999999994</v>
      </c>
      <c r="M68" s="60">
        <f>SUM(M55:M67)</f>
        <v>426.43999999999994</v>
      </c>
      <c r="N68" s="60">
        <f t="shared" si="8"/>
        <v>429.53999999999996</v>
      </c>
      <c r="O68" s="60">
        <f t="shared" si="8"/>
        <v>431.03999999999996</v>
      </c>
      <c r="P68" s="60">
        <f>SUM(P55:P67)</f>
        <v>426.34</v>
      </c>
      <c r="Q68" s="60">
        <f>SUM(Q55:Q67)</f>
        <v>432.34</v>
      </c>
      <c r="R68" s="60">
        <f t="shared" si="8"/>
        <v>432.34</v>
      </c>
      <c r="S68" s="60">
        <f t="shared" ref="S68:AA68" si="9">SUM(S55:S67)</f>
        <v>425.23999999999995</v>
      </c>
      <c r="T68" s="60">
        <f t="shared" si="9"/>
        <v>424.23999999999995</v>
      </c>
      <c r="U68" s="60">
        <f t="shared" si="9"/>
        <v>428.34</v>
      </c>
      <c r="V68" s="60">
        <f t="shared" si="9"/>
        <v>428.34</v>
      </c>
      <c r="W68" s="60">
        <f t="shared" si="9"/>
        <v>424.64</v>
      </c>
      <c r="X68" s="60">
        <f t="shared" si="9"/>
        <v>424.64</v>
      </c>
      <c r="Y68" s="60">
        <f t="shared" si="9"/>
        <v>420.64</v>
      </c>
      <c r="Z68" s="60">
        <f t="shared" si="9"/>
        <v>412.73999999999995</v>
      </c>
      <c r="AA68" s="60">
        <f t="shared" si="9"/>
        <v>412.73999999999995</v>
      </c>
      <c r="AB68" s="60">
        <f t="shared" si="8"/>
        <v>433.73999999999995</v>
      </c>
      <c r="AC68" s="60">
        <f t="shared" si="8"/>
        <v>433.73999999999995</v>
      </c>
      <c r="AD68" s="60">
        <f t="shared" si="8"/>
        <v>434.73999999999995</v>
      </c>
      <c r="AE68" s="60">
        <f t="shared" si="8"/>
        <v>434.73999999999995</v>
      </c>
      <c r="AF68" s="60">
        <f t="shared" si="8"/>
        <v>434.73999999999995</v>
      </c>
      <c r="AG68" s="61">
        <f t="shared" si="8"/>
        <v>489.91</v>
      </c>
      <c r="AH68" s="47">
        <f t="shared" si="2"/>
        <v>434.73999999999995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>
        <v>10</v>
      </c>
      <c r="K69" s="45">
        <v>10</v>
      </c>
      <c r="L69" s="45">
        <v>9.9</v>
      </c>
      <c r="M69" s="45">
        <v>9.9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20</v>
      </c>
      <c r="Z69" s="45">
        <v>30</v>
      </c>
      <c r="AA69" s="45">
        <v>0</v>
      </c>
      <c r="AB69" s="45"/>
      <c r="AC69" s="45"/>
      <c r="AD69" s="45"/>
      <c r="AE69" s="45"/>
      <c r="AF69" s="45"/>
      <c r="AG69" s="51">
        <v>60</v>
      </c>
      <c r="AH69" s="47">
        <f t="shared" si="2"/>
        <v>30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>
        <v>4.9000000000000004</v>
      </c>
      <c r="K70" s="64">
        <v>4.9000000000000004</v>
      </c>
      <c r="L70" s="64">
        <v>10.1</v>
      </c>
      <c r="M70" s="64">
        <v>10.1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5">
        <v>0</v>
      </c>
      <c r="V70" s="45">
        <v>0</v>
      </c>
      <c r="W70" s="45">
        <v>0</v>
      </c>
      <c r="X70" s="45">
        <v>0</v>
      </c>
      <c r="Y70" s="45">
        <v>3.8</v>
      </c>
      <c r="Z70" s="45">
        <v>6.9</v>
      </c>
      <c r="AA70" s="45">
        <v>5.0999999999999996</v>
      </c>
      <c r="AB70" s="64"/>
      <c r="AC70" s="64"/>
      <c r="AD70" s="64"/>
      <c r="AE70" s="64"/>
      <c r="AF70" s="64"/>
      <c r="AG70" s="54">
        <v>32</v>
      </c>
      <c r="AH70" s="47">
        <f t="shared" si="2"/>
        <v>10.1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>
        <v>1.8</v>
      </c>
      <c r="K71" s="66">
        <v>1.8</v>
      </c>
      <c r="L71" s="66">
        <v>3.7</v>
      </c>
      <c r="M71" s="66">
        <v>3.7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5">
        <v>0</v>
      </c>
      <c r="V71" s="45">
        <v>0</v>
      </c>
      <c r="W71" s="45">
        <v>0</v>
      </c>
      <c r="X71" s="45">
        <v>0</v>
      </c>
      <c r="Y71" s="45">
        <v>1.4</v>
      </c>
      <c r="Z71" s="45">
        <v>2.5</v>
      </c>
      <c r="AA71" s="45">
        <v>1.8</v>
      </c>
      <c r="AB71" s="66"/>
      <c r="AC71" s="66"/>
      <c r="AD71" s="66"/>
      <c r="AE71" s="66"/>
      <c r="AF71" s="66"/>
      <c r="AG71" s="67">
        <v>14</v>
      </c>
      <c r="AH71" s="47">
        <f t="shared" si="2"/>
        <v>3.7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 t="shared" ref="L72:AF72" si="10">L69+L70+L71</f>
        <v>23.7</v>
      </c>
      <c r="M72" s="60">
        <f t="shared" si="10"/>
        <v>23.7</v>
      </c>
      <c r="N72" s="60">
        <f t="shared" si="10"/>
        <v>0</v>
      </c>
      <c r="O72" s="60">
        <f t="shared" si="10"/>
        <v>0</v>
      </c>
      <c r="P72" s="60">
        <f t="shared" si="10"/>
        <v>0</v>
      </c>
      <c r="Q72" s="60">
        <f t="shared" si="10"/>
        <v>0</v>
      </c>
      <c r="R72" s="60">
        <f t="shared" si="10"/>
        <v>0</v>
      </c>
      <c r="S72" s="60">
        <f t="shared" si="10"/>
        <v>0</v>
      </c>
      <c r="T72" s="60">
        <f t="shared" si="10"/>
        <v>0</v>
      </c>
      <c r="U72" s="60">
        <f t="shared" si="10"/>
        <v>0</v>
      </c>
      <c r="V72" s="60">
        <f t="shared" si="10"/>
        <v>0</v>
      </c>
      <c r="W72" s="60">
        <f t="shared" si="10"/>
        <v>0</v>
      </c>
      <c r="X72" s="60">
        <f t="shared" si="10"/>
        <v>0</v>
      </c>
      <c r="Y72" s="60">
        <f t="shared" si="10"/>
        <v>25.2</v>
      </c>
      <c r="Z72" s="60">
        <f t="shared" si="10"/>
        <v>39.4</v>
      </c>
      <c r="AA72" s="60">
        <f t="shared" si="10"/>
        <v>6.8999999999999995</v>
      </c>
      <c r="AB72" s="60">
        <f t="shared" si="10"/>
        <v>0</v>
      </c>
      <c r="AC72" s="60">
        <f t="shared" si="10"/>
        <v>0</v>
      </c>
      <c r="AD72" s="60">
        <f t="shared" si="10"/>
        <v>0</v>
      </c>
      <c r="AE72" s="60">
        <f t="shared" si="10"/>
        <v>0</v>
      </c>
      <c r="AF72" s="60">
        <f t="shared" si="10"/>
        <v>0</v>
      </c>
      <c r="AG72" s="61">
        <f>SUM(AG69:AG71)</f>
        <v>106</v>
      </c>
      <c r="AH72" s="47">
        <f t="shared" si="2"/>
        <v>39.4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-59.5</v>
      </c>
      <c r="C73" s="45">
        <v>-61.2</v>
      </c>
      <c r="D73" s="45">
        <v>-63.1</v>
      </c>
      <c r="E73" s="45">
        <v>-65.400000000000006</v>
      </c>
      <c r="F73" s="45">
        <v>-67</v>
      </c>
      <c r="G73" s="45">
        <v>-69.599999999999994</v>
      </c>
      <c r="H73" s="45"/>
      <c r="I73" s="45"/>
      <c r="J73" s="45">
        <v>-71</v>
      </c>
      <c r="K73" s="45">
        <v>-72.3</v>
      </c>
      <c r="L73" s="45">
        <v>-67.8</v>
      </c>
      <c r="M73" s="45">
        <v>-60.5</v>
      </c>
      <c r="N73" s="45">
        <v>-60.58</v>
      </c>
      <c r="O73" s="45">
        <v>-53</v>
      </c>
      <c r="P73" s="45">
        <v>-59.2</v>
      </c>
      <c r="Q73" s="45">
        <v>-59.2</v>
      </c>
      <c r="R73" s="45">
        <v>-52.6</v>
      </c>
      <c r="S73" s="45">
        <v>-55</v>
      </c>
      <c r="T73" s="45">
        <v>-28.8</v>
      </c>
      <c r="U73" s="45">
        <v>-30.7</v>
      </c>
      <c r="V73" s="45">
        <v>-59.1</v>
      </c>
      <c r="W73" s="45">
        <v>-62.7</v>
      </c>
      <c r="X73" s="45">
        <v>-61</v>
      </c>
      <c r="Y73" s="45">
        <v>-21.3</v>
      </c>
      <c r="Z73" s="45">
        <v>0</v>
      </c>
      <c r="AA73" s="45">
        <v>-7.8</v>
      </c>
      <c r="AB73" s="45">
        <v>-4.5</v>
      </c>
      <c r="AC73" s="45">
        <v>-9.1999999999999993</v>
      </c>
      <c r="AD73" s="45">
        <v>-63.9</v>
      </c>
      <c r="AE73" s="45">
        <v>-59.4</v>
      </c>
      <c r="AF73" s="45">
        <v>-56.7</v>
      </c>
      <c r="AG73" s="51"/>
      <c r="AH73" s="47">
        <f t="shared" si="2"/>
        <v>0</v>
      </c>
      <c r="AI73" s="48">
        <f t="shared" si="3"/>
        <v>-72.3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>
        <v>0</v>
      </c>
      <c r="AD74" s="64">
        <v>0</v>
      </c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-576</v>
      </c>
      <c r="C75" s="64">
        <v>-607.29999999999995</v>
      </c>
      <c r="D75" s="64">
        <v>-627</v>
      </c>
      <c r="E75" s="64">
        <v>-634.4</v>
      </c>
      <c r="F75" s="64">
        <v>-646</v>
      </c>
      <c r="G75" s="64">
        <v>-644.79999999999995</v>
      </c>
      <c r="H75" s="64"/>
      <c r="I75" s="64"/>
      <c r="J75" s="64">
        <v>-576.20000000000005</v>
      </c>
      <c r="K75" s="64">
        <v>-552.20000000000005</v>
      </c>
      <c r="L75" s="64">
        <v>-592.29999999999995</v>
      </c>
      <c r="M75" s="64">
        <v>-584</v>
      </c>
      <c r="N75" s="64">
        <v>-572</v>
      </c>
      <c r="O75" s="64">
        <v>-512</v>
      </c>
      <c r="P75" s="64">
        <v>-532</v>
      </c>
      <c r="Q75" s="64">
        <v>-532</v>
      </c>
      <c r="R75" s="64">
        <v>-547</v>
      </c>
      <c r="S75" s="64">
        <v>-524</v>
      </c>
      <c r="T75" s="64">
        <v>-550.6</v>
      </c>
      <c r="U75" s="64">
        <v>-595.20000000000005</v>
      </c>
      <c r="V75" s="64">
        <v>-549.20000000000005</v>
      </c>
      <c r="W75" s="64">
        <v>-568.9</v>
      </c>
      <c r="X75" s="64">
        <v>-486.2</v>
      </c>
      <c r="Y75" s="64">
        <v>-436.1</v>
      </c>
      <c r="Z75" s="64">
        <v>-454.1</v>
      </c>
      <c r="AA75" s="64">
        <v>-522.70000000000005</v>
      </c>
      <c r="AB75" s="64">
        <v>-540.1</v>
      </c>
      <c r="AC75" s="64">
        <v>-514.70000000000005</v>
      </c>
      <c r="AD75" s="64">
        <v>-528</v>
      </c>
      <c r="AE75" s="64">
        <v>-530</v>
      </c>
      <c r="AF75" s="64">
        <v>-516</v>
      </c>
      <c r="AG75" s="74"/>
      <c r="AH75" s="47">
        <f t="shared" si="2"/>
        <v>-436.1</v>
      </c>
      <c r="AI75" s="48">
        <f t="shared" si="3"/>
        <v>-646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64">
        <v>0</v>
      </c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>
        <v>0</v>
      </c>
      <c r="AE77" s="45"/>
      <c r="AF77" s="45"/>
      <c r="AG77" s="74"/>
      <c r="AH77" s="47">
        <f t="shared" ref="AH77:AH120" si="11">MAX(B77:AF77)</f>
        <v>0</v>
      </c>
      <c r="AI77" s="48">
        <f t="shared" ref="AI77:AI120" si="12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>
        <v>0</v>
      </c>
      <c r="AD78" s="76">
        <v>0</v>
      </c>
      <c r="AE78" s="76"/>
      <c r="AF78" s="76"/>
      <c r="AG78" s="74"/>
      <c r="AH78" s="47">
        <f t="shared" si="11"/>
        <v>0</v>
      </c>
      <c r="AI78" s="48">
        <f t="shared" si="12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>
        <v>0</v>
      </c>
      <c r="AE79" s="76"/>
      <c r="AF79" s="76"/>
      <c r="AG79" s="74"/>
      <c r="AH79" s="47">
        <f t="shared" si="11"/>
        <v>0</v>
      </c>
      <c r="AI79" s="48">
        <f t="shared" si="12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>
        <v>0</v>
      </c>
      <c r="AE80" s="76"/>
      <c r="AF80" s="76"/>
      <c r="AG80" s="74"/>
      <c r="AH80" s="47">
        <f t="shared" si="11"/>
        <v>0</v>
      </c>
      <c r="AI80" s="48">
        <f t="shared" si="12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>
        <v>0</v>
      </c>
      <c r="AE81" s="76"/>
      <c r="AF81" s="76"/>
      <c r="AG81" s="74"/>
      <c r="AH81" s="47">
        <f t="shared" si="11"/>
        <v>0</v>
      </c>
      <c r="AI81" s="48">
        <f t="shared" si="12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>
        <v>0</v>
      </c>
      <c r="AE82" s="76"/>
      <c r="AF82" s="76"/>
      <c r="AG82" s="84"/>
      <c r="AH82" s="47">
        <f t="shared" si="11"/>
        <v>0</v>
      </c>
      <c r="AI82" s="48">
        <f t="shared" si="12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>
        <v>0</v>
      </c>
      <c r="AE83" s="76"/>
      <c r="AF83" s="76"/>
      <c r="AG83" s="84"/>
      <c r="AH83" s="47">
        <f t="shared" si="11"/>
        <v>0</v>
      </c>
      <c r="AI83" s="48">
        <f t="shared" si="12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3">SUMIF(B73:B83,"&gt;0")</f>
        <v>0</v>
      </c>
      <c r="C84" s="60">
        <f t="shared" si="13"/>
        <v>0</v>
      </c>
      <c r="D84" s="60">
        <f t="shared" si="13"/>
        <v>0</v>
      </c>
      <c r="E84" s="60">
        <f t="shared" si="13"/>
        <v>0</v>
      </c>
      <c r="F84" s="60">
        <f t="shared" si="13"/>
        <v>0</v>
      </c>
      <c r="G84" s="60">
        <f t="shared" si="13"/>
        <v>0</v>
      </c>
      <c r="H84" s="60">
        <f t="shared" si="13"/>
        <v>0</v>
      </c>
      <c r="I84" s="60">
        <f t="shared" si="13"/>
        <v>0</v>
      </c>
      <c r="J84" s="60">
        <f t="shared" si="13"/>
        <v>0</v>
      </c>
      <c r="K84" s="60">
        <f t="shared" si="13"/>
        <v>0</v>
      </c>
      <c r="L84" s="60">
        <f t="shared" si="13"/>
        <v>0</v>
      </c>
      <c r="M84" s="60">
        <f>SUMIF(M73:M83,"&gt;0")</f>
        <v>0</v>
      </c>
      <c r="N84" s="60">
        <f t="shared" si="13"/>
        <v>0</v>
      </c>
      <c r="O84" s="60">
        <f t="shared" si="13"/>
        <v>0</v>
      </c>
      <c r="P84" s="60">
        <f>SUMIF(P73:P83,"&gt;0")</f>
        <v>0</v>
      </c>
      <c r="Q84" s="60">
        <f>SUMIF(Q73:Q83,"&gt;0")</f>
        <v>0</v>
      </c>
      <c r="R84" s="60">
        <f t="shared" si="13"/>
        <v>0</v>
      </c>
      <c r="S84" s="60">
        <f t="shared" ref="S84:AB84" si="14">SUMIF(S73:S83,"&gt;0")</f>
        <v>0</v>
      </c>
      <c r="T84" s="60">
        <f t="shared" si="14"/>
        <v>0</v>
      </c>
      <c r="U84" s="60">
        <f t="shared" si="14"/>
        <v>0</v>
      </c>
      <c r="V84" s="60">
        <f t="shared" si="14"/>
        <v>0</v>
      </c>
      <c r="W84" s="60">
        <f t="shared" si="14"/>
        <v>0</v>
      </c>
      <c r="X84" s="60">
        <f t="shared" si="14"/>
        <v>0</v>
      </c>
      <c r="Y84" s="60">
        <f t="shared" si="14"/>
        <v>0</v>
      </c>
      <c r="Z84" s="60">
        <f t="shared" si="14"/>
        <v>0</v>
      </c>
      <c r="AA84" s="60">
        <f t="shared" si="14"/>
        <v>0</v>
      </c>
      <c r="AB84" s="60">
        <f t="shared" si="14"/>
        <v>0</v>
      </c>
      <c r="AC84" s="60">
        <f t="shared" si="13"/>
        <v>0</v>
      </c>
      <c r="AD84" s="60">
        <f t="shared" si="13"/>
        <v>0</v>
      </c>
      <c r="AE84" s="60">
        <f t="shared" si="13"/>
        <v>0</v>
      </c>
      <c r="AF84" s="60">
        <f t="shared" si="13"/>
        <v>0</v>
      </c>
      <c r="AG84" s="87">
        <f>SUM(AG73:AG83)</f>
        <v>0</v>
      </c>
      <c r="AH84" s="47">
        <f t="shared" si="11"/>
        <v>0</v>
      </c>
      <c r="AI84" s="48">
        <f t="shared" si="12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1"/>
        <v>0</v>
      </c>
      <c r="AI85" s="48">
        <f t="shared" si="12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1"/>
        <v>0</v>
      </c>
      <c r="AI86" s="48">
        <f t="shared" si="12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1"/>
        <v>0</v>
      </c>
      <c r="AI87" s="48">
        <f t="shared" si="12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1"/>
        <v>0</v>
      </c>
      <c r="AI88" s="48">
        <f t="shared" si="12"/>
        <v>0</v>
      </c>
    </row>
    <row r="89" spans="1:40" ht="15.75" thickBot="1" x14ac:dyDescent="0.3">
      <c r="A89" s="73" t="s">
        <v>100</v>
      </c>
      <c r="B89" s="94">
        <f t="shared" ref="B89:AG89" si="15">B50+B54+B72+B68+B84+B88</f>
        <v>2000.1399999999999</v>
      </c>
      <c r="C89" s="94">
        <f t="shared" si="15"/>
        <v>2008.74</v>
      </c>
      <c r="D89" s="94">
        <f t="shared" si="15"/>
        <v>2008.74</v>
      </c>
      <c r="E89" s="94">
        <f t="shared" si="15"/>
        <v>2007.1399999999999</v>
      </c>
      <c r="F89" s="94">
        <f t="shared" si="15"/>
        <v>1996.94</v>
      </c>
      <c r="G89" s="94">
        <f t="shared" si="15"/>
        <v>2033.44</v>
      </c>
      <c r="H89" s="94">
        <f t="shared" si="15"/>
        <v>3.54</v>
      </c>
      <c r="I89" s="94">
        <f t="shared" si="15"/>
        <v>3.54</v>
      </c>
      <c r="J89" s="94">
        <f>J50+J54+J72+J68+J84+J88</f>
        <v>1941.54</v>
      </c>
      <c r="K89" s="94">
        <f t="shared" si="15"/>
        <v>1996.6399999999999</v>
      </c>
      <c r="L89" s="94">
        <f t="shared" si="15"/>
        <v>2068.7400000000002</v>
      </c>
      <c r="M89" s="94">
        <f>M50+M54+M72+M68+M84+M88</f>
        <v>2084.84</v>
      </c>
      <c r="N89" s="94">
        <f t="shared" si="15"/>
        <v>2064.2400000000002</v>
      </c>
      <c r="O89" s="94">
        <f t="shared" si="15"/>
        <v>2065.7400000000002</v>
      </c>
      <c r="P89" s="94">
        <f>P50+P54+P72+P68+P84+P88</f>
        <v>2099.3300000000004</v>
      </c>
      <c r="Q89" s="94">
        <f>Q50+Q54+Q72+Q68+Q84+Q88</f>
        <v>2097.3300000000004</v>
      </c>
      <c r="R89" s="94">
        <f t="shared" si="15"/>
        <v>2099.3300000000004</v>
      </c>
      <c r="S89" s="94">
        <f t="shared" ref="S89:AA89" si="16">S50+S54+S72+S68+S84+S88</f>
        <v>2092.23</v>
      </c>
      <c r="T89" s="94">
        <f t="shared" si="16"/>
        <v>2092.7399999999998</v>
      </c>
      <c r="U89" s="94">
        <f t="shared" si="16"/>
        <v>2096.84</v>
      </c>
      <c r="V89" s="94">
        <f t="shared" si="16"/>
        <v>2063.84</v>
      </c>
      <c r="W89" s="94">
        <f t="shared" si="16"/>
        <v>2057.14</v>
      </c>
      <c r="X89" s="94">
        <f t="shared" si="16"/>
        <v>2057.14</v>
      </c>
      <c r="Y89" s="94">
        <f t="shared" si="16"/>
        <v>2170.5400000000004</v>
      </c>
      <c r="Z89" s="94">
        <f t="shared" si="16"/>
        <v>2156.14</v>
      </c>
      <c r="AA89" s="94">
        <f t="shared" si="16"/>
        <v>2127.44</v>
      </c>
      <c r="AB89" s="94">
        <f t="shared" si="15"/>
        <v>2139.54</v>
      </c>
      <c r="AC89" s="94">
        <f t="shared" si="15"/>
        <v>2086.2399999999998</v>
      </c>
      <c r="AD89" s="94">
        <f t="shared" si="15"/>
        <v>2071.2399999999998</v>
      </c>
      <c r="AE89" s="94">
        <f t="shared" si="15"/>
        <v>2025.0400000000002</v>
      </c>
      <c r="AF89" s="94">
        <f t="shared" si="15"/>
        <v>2007.0400000000002</v>
      </c>
      <c r="AG89" s="61">
        <f t="shared" si="15"/>
        <v>2111.5500000000002</v>
      </c>
      <c r="AH89" s="47">
        <f t="shared" si="11"/>
        <v>2170.5400000000004</v>
      </c>
      <c r="AI89" s="48">
        <f t="shared" si="12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1"/>
        <v>0</v>
      </c>
      <c r="AI90" s="48">
        <f t="shared" si="12"/>
        <v>0</v>
      </c>
    </row>
    <row r="91" spans="1:40" ht="15.75" thickBot="1" x14ac:dyDescent="0.3">
      <c r="A91" s="73" t="s">
        <v>102</v>
      </c>
      <c r="B91" s="94">
        <f t="shared" ref="B91:AF91" si="17">B89+B90</f>
        <v>2000.1399999999999</v>
      </c>
      <c r="C91" s="94">
        <f t="shared" si="17"/>
        <v>2008.74</v>
      </c>
      <c r="D91" s="94">
        <f t="shared" si="17"/>
        <v>2008.74</v>
      </c>
      <c r="E91" s="94">
        <f t="shared" si="17"/>
        <v>2007.1399999999999</v>
      </c>
      <c r="F91" s="94">
        <f t="shared" si="17"/>
        <v>1996.94</v>
      </c>
      <c r="G91" s="94">
        <f t="shared" si="17"/>
        <v>2033.44</v>
      </c>
      <c r="H91" s="94">
        <f t="shared" si="17"/>
        <v>3.54</v>
      </c>
      <c r="I91" s="94">
        <f t="shared" si="17"/>
        <v>3.54</v>
      </c>
      <c r="J91" s="94">
        <f t="shared" si="17"/>
        <v>1941.54</v>
      </c>
      <c r="K91" s="94">
        <f t="shared" si="17"/>
        <v>1996.6399999999999</v>
      </c>
      <c r="L91" s="94">
        <f t="shared" si="17"/>
        <v>2068.7400000000002</v>
      </c>
      <c r="M91" s="94">
        <f>M89+M90</f>
        <v>2084.84</v>
      </c>
      <c r="N91" s="94">
        <f t="shared" si="17"/>
        <v>2064.2400000000002</v>
      </c>
      <c r="O91" s="94">
        <f t="shared" si="17"/>
        <v>2065.7400000000002</v>
      </c>
      <c r="P91" s="94">
        <f>P89+P90</f>
        <v>2099.3300000000004</v>
      </c>
      <c r="Q91" s="94">
        <f>Q89+Q90</f>
        <v>2097.3300000000004</v>
      </c>
      <c r="R91" s="94">
        <f t="shared" si="17"/>
        <v>2099.3300000000004</v>
      </c>
      <c r="S91" s="94">
        <f t="shared" ref="S91:AA91" si="18">S89+S90</f>
        <v>2092.23</v>
      </c>
      <c r="T91" s="94">
        <f t="shared" si="18"/>
        <v>2092.7399999999998</v>
      </c>
      <c r="U91" s="94">
        <f t="shared" si="18"/>
        <v>2096.84</v>
      </c>
      <c r="V91" s="94">
        <f t="shared" si="18"/>
        <v>2063.84</v>
      </c>
      <c r="W91" s="94">
        <f t="shared" si="18"/>
        <v>2057.14</v>
      </c>
      <c r="X91" s="94">
        <f t="shared" si="18"/>
        <v>2057.14</v>
      </c>
      <c r="Y91" s="94">
        <f t="shared" si="18"/>
        <v>2170.5400000000004</v>
      </c>
      <c r="Z91" s="94">
        <f t="shared" si="18"/>
        <v>2156.14</v>
      </c>
      <c r="AA91" s="94">
        <f t="shared" si="18"/>
        <v>2127.44</v>
      </c>
      <c r="AB91" s="94">
        <f t="shared" si="17"/>
        <v>2139.54</v>
      </c>
      <c r="AC91" s="94">
        <f t="shared" si="17"/>
        <v>2086.2399999999998</v>
      </c>
      <c r="AD91" s="94">
        <f t="shared" si="17"/>
        <v>2071.2399999999998</v>
      </c>
      <c r="AE91" s="94">
        <f t="shared" si="17"/>
        <v>2025.0400000000002</v>
      </c>
      <c r="AF91" s="94">
        <f t="shared" si="17"/>
        <v>2007.0400000000002</v>
      </c>
      <c r="AG91" s="87">
        <f>AG88+AG84+AG72+AG68+AG50+AG90</f>
        <v>1573.45</v>
      </c>
      <c r="AH91" s="47">
        <f t="shared" si="11"/>
        <v>2170.5400000000004</v>
      </c>
      <c r="AI91" s="48">
        <f t="shared" si="12"/>
        <v>3.54</v>
      </c>
    </row>
    <row r="92" spans="1:40" ht="15.75" thickBot="1" x14ac:dyDescent="0.3">
      <c r="A92" s="73" t="s">
        <v>103</v>
      </c>
      <c r="B92" s="94">
        <f>B91-(-B99)</f>
        <v>1424.1399999999999</v>
      </c>
      <c r="C92" s="94">
        <f t="shared" ref="C92:AF92" si="19">C91-(-C99)</f>
        <v>1401.44</v>
      </c>
      <c r="D92" s="94">
        <f t="shared" si="19"/>
        <v>1381.74</v>
      </c>
      <c r="E92" s="94">
        <f t="shared" si="19"/>
        <v>1372.7399999999998</v>
      </c>
      <c r="F92" s="94">
        <f t="shared" si="19"/>
        <v>1350.94</v>
      </c>
      <c r="G92" s="94">
        <f t="shared" si="19"/>
        <v>1388.64</v>
      </c>
      <c r="H92" s="94">
        <f t="shared" si="19"/>
        <v>3.54</v>
      </c>
      <c r="I92" s="94">
        <f t="shared" si="19"/>
        <v>3.54</v>
      </c>
      <c r="J92" s="94">
        <f t="shared" si="19"/>
        <v>1365.34</v>
      </c>
      <c r="K92" s="94">
        <f t="shared" si="19"/>
        <v>1444.4399999999998</v>
      </c>
      <c r="L92" s="94">
        <f t="shared" si="19"/>
        <v>1476.4400000000003</v>
      </c>
      <c r="M92" s="94">
        <f>M91-(-M99)</f>
        <v>1500.8400000000001</v>
      </c>
      <c r="N92" s="94">
        <f t="shared" si="19"/>
        <v>1492.2400000000002</v>
      </c>
      <c r="O92" s="94">
        <f t="shared" si="19"/>
        <v>1553.7400000000002</v>
      </c>
      <c r="P92" s="94">
        <f>P91-(-P99)</f>
        <v>1567.3300000000004</v>
      </c>
      <c r="Q92" s="94">
        <f>Q91-(-Q99)</f>
        <v>1565.3300000000004</v>
      </c>
      <c r="R92" s="94">
        <f t="shared" si="19"/>
        <v>1552.3300000000004</v>
      </c>
      <c r="S92" s="94">
        <f t="shared" ref="S92:AA92" si="20">S91-(-S99)</f>
        <v>1568.23</v>
      </c>
      <c r="T92" s="94">
        <f t="shared" si="20"/>
        <v>1542.1399999999999</v>
      </c>
      <c r="U92" s="94">
        <f t="shared" si="20"/>
        <v>1501.64</v>
      </c>
      <c r="V92" s="94">
        <f t="shared" si="20"/>
        <v>1514.64</v>
      </c>
      <c r="W92" s="94">
        <f t="shared" si="20"/>
        <v>1488.2399999999998</v>
      </c>
      <c r="X92" s="94">
        <f t="shared" si="20"/>
        <v>1570.9399999999998</v>
      </c>
      <c r="Y92" s="94">
        <f t="shared" si="20"/>
        <v>1734.4400000000005</v>
      </c>
      <c r="Z92" s="94">
        <f t="shared" si="20"/>
        <v>1702.04</v>
      </c>
      <c r="AA92" s="94">
        <f t="shared" si="20"/>
        <v>1604.74</v>
      </c>
      <c r="AB92" s="94">
        <f t="shared" si="19"/>
        <v>1599.44</v>
      </c>
      <c r="AC92" s="94">
        <f t="shared" si="19"/>
        <v>1571.5399999999997</v>
      </c>
      <c r="AD92" s="94">
        <f t="shared" si="19"/>
        <v>1543.2399999999998</v>
      </c>
      <c r="AE92" s="94">
        <f t="shared" si="19"/>
        <v>1495.0400000000002</v>
      </c>
      <c r="AF92" s="94">
        <f t="shared" si="19"/>
        <v>1491.0400000000002</v>
      </c>
      <c r="AG92" s="87"/>
      <c r="AH92" s="47">
        <f t="shared" si="11"/>
        <v>1734.4400000000005</v>
      </c>
      <c r="AI92" s="48">
        <f t="shared" si="12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1"/>
        <v>0</v>
      </c>
      <c r="AI93" s="48">
        <f t="shared" si="12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1"/>
        <v>0</v>
      </c>
      <c r="AI94" s="48">
        <f t="shared" si="12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1"/>
        <v>0</v>
      </c>
      <c r="AI95" s="48">
        <f t="shared" si="12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1"/>
        <v>0</v>
      </c>
      <c r="AI96" s="48">
        <f t="shared" si="12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1"/>
        <v>0</v>
      </c>
      <c r="AI97" s="48">
        <f t="shared" si="12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1"/>
        <v>0</v>
      </c>
      <c r="AI98" s="48">
        <f t="shared" si="12"/>
        <v>0</v>
      </c>
    </row>
    <row r="99" spans="1:37" ht="15.75" thickBot="1" x14ac:dyDescent="0.3">
      <c r="A99" s="98" t="s">
        <v>107</v>
      </c>
      <c r="B99" s="60">
        <f>B75</f>
        <v>-576</v>
      </c>
      <c r="C99" s="60">
        <f t="shared" ref="C99:AF99" si="21">C75</f>
        <v>-607.29999999999995</v>
      </c>
      <c r="D99" s="60">
        <f t="shared" si="21"/>
        <v>-627</v>
      </c>
      <c r="E99" s="60">
        <f t="shared" si="21"/>
        <v>-634.4</v>
      </c>
      <c r="F99" s="60">
        <f t="shared" si="21"/>
        <v>-646</v>
      </c>
      <c r="G99" s="60">
        <f t="shared" si="21"/>
        <v>-644.79999999999995</v>
      </c>
      <c r="H99" s="60">
        <f t="shared" si="21"/>
        <v>0</v>
      </c>
      <c r="I99" s="60">
        <f t="shared" si="21"/>
        <v>0</v>
      </c>
      <c r="J99" s="60">
        <f t="shared" si="21"/>
        <v>-576.20000000000005</v>
      </c>
      <c r="K99" s="60">
        <f t="shared" si="21"/>
        <v>-552.20000000000005</v>
      </c>
      <c r="L99" s="60">
        <f t="shared" si="21"/>
        <v>-592.29999999999995</v>
      </c>
      <c r="M99" s="60">
        <f>M75</f>
        <v>-584</v>
      </c>
      <c r="N99" s="60">
        <f t="shared" si="21"/>
        <v>-572</v>
      </c>
      <c r="O99" s="60">
        <f t="shared" si="21"/>
        <v>-512</v>
      </c>
      <c r="P99" s="60">
        <f>P75</f>
        <v>-532</v>
      </c>
      <c r="Q99" s="60">
        <f>Q75</f>
        <v>-532</v>
      </c>
      <c r="R99" s="60">
        <f t="shared" si="21"/>
        <v>-547</v>
      </c>
      <c r="S99" s="60">
        <f t="shared" ref="S99:AA99" si="22">S75</f>
        <v>-524</v>
      </c>
      <c r="T99" s="60">
        <f t="shared" si="22"/>
        <v>-550.6</v>
      </c>
      <c r="U99" s="60">
        <f t="shared" si="22"/>
        <v>-595.20000000000005</v>
      </c>
      <c r="V99" s="60">
        <f t="shared" si="22"/>
        <v>-549.20000000000005</v>
      </c>
      <c r="W99" s="60">
        <f t="shared" si="22"/>
        <v>-568.9</v>
      </c>
      <c r="X99" s="60">
        <f t="shared" si="22"/>
        <v>-486.2</v>
      </c>
      <c r="Y99" s="60">
        <f t="shared" si="22"/>
        <v>-436.1</v>
      </c>
      <c r="Z99" s="60">
        <f t="shared" si="22"/>
        <v>-454.1</v>
      </c>
      <c r="AA99" s="60">
        <f t="shared" si="22"/>
        <v>-522.70000000000005</v>
      </c>
      <c r="AB99" s="60">
        <f t="shared" si="21"/>
        <v>-540.1</v>
      </c>
      <c r="AC99" s="60">
        <f t="shared" si="21"/>
        <v>-514.70000000000005</v>
      </c>
      <c r="AD99" s="60">
        <f t="shared" si="21"/>
        <v>-528</v>
      </c>
      <c r="AE99" s="60">
        <f t="shared" si="21"/>
        <v>-530</v>
      </c>
      <c r="AF99" s="60">
        <f t="shared" si="21"/>
        <v>-516</v>
      </c>
      <c r="AG99" s="87"/>
      <c r="AH99" s="47">
        <f t="shared" si="11"/>
        <v>0</v>
      </c>
      <c r="AI99" s="48">
        <f t="shared" si="12"/>
        <v>-646</v>
      </c>
      <c r="AK99" s="50"/>
    </row>
    <row r="100" spans="1:37" ht="15.75" thickBot="1" x14ac:dyDescent="0.3">
      <c r="A100" s="73" t="s">
        <v>108</v>
      </c>
      <c r="B100" s="60">
        <f t="shared" ref="B100:AF100" si="23">B84-B99</f>
        <v>576</v>
      </c>
      <c r="C100" s="60">
        <f t="shared" si="23"/>
        <v>607.29999999999995</v>
      </c>
      <c r="D100" s="60">
        <f t="shared" si="23"/>
        <v>627</v>
      </c>
      <c r="E100" s="60">
        <f t="shared" si="23"/>
        <v>634.4</v>
      </c>
      <c r="F100" s="60">
        <f t="shared" si="23"/>
        <v>646</v>
      </c>
      <c r="G100" s="60">
        <f t="shared" si="23"/>
        <v>644.79999999999995</v>
      </c>
      <c r="H100" s="60">
        <f t="shared" si="23"/>
        <v>0</v>
      </c>
      <c r="I100" s="60">
        <f t="shared" si="23"/>
        <v>0</v>
      </c>
      <c r="J100" s="60">
        <f t="shared" si="23"/>
        <v>576.20000000000005</v>
      </c>
      <c r="K100" s="60">
        <f t="shared" si="23"/>
        <v>552.20000000000005</v>
      </c>
      <c r="L100" s="60">
        <f t="shared" si="23"/>
        <v>592.29999999999995</v>
      </c>
      <c r="M100" s="60">
        <f>M84-M99</f>
        <v>584</v>
      </c>
      <c r="N100" s="60">
        <f t="shared" si="23"/>
        <v>572</v>
      </c>
      <c r="O100" s="60">
        <f t="shared" si="23"/>
        <v>512</v>
      </c>
      <c r="P100" s="60">
        <f>P84-P99</f>
        <v>532</v>
      </c>
      <c r="Q100" s="60">
        <f>Q84-Q99</f>
        <v>532</v>
      </c>
      <c r="R100" s="60">
        <f t="shared" si="23"/>
        <v>547</v>
      </c>
      <c r="S100" s="60">
        <f t="shared" ref="S100:AA100" si="24">S84-S99</f>
        <v>524</v>
      </c>
      <c r="T100" s="60">
        <f t="shared" si="24"/>
        <v>550.6</v>
      </c>
      <c r="U100" s="60">
        <f t="shared" si="24"/>
        <v>595.20000000000005</v>
      </c>
      <c r="V100" s="60">
        <f t="shared" si="24"/>
        <v>549.20000000000005</v>
      </c>
      <c r="W100" s="60">
        <f t="shared" si="24"/>
        <v>568.9</v>
      </c>
      <c r="X100" s="60">
        <f t="shared" si="24"/>
        <v>486.2</v>
      </c>
      <c r="Y100" s="60">
        <f t="shared" si="24"/>
        <v>436.1</v>
      </c>
      <c r="Z100" s="60">
        <f t="shared" si="24"/>
        <v>454.1</v>
      </c>
      <c r="AA100" s="60">
        <f t="shared" si="24"/>
        <v>522.70000000000005</v>
      </c>
      <c r="AB100" s="60">
        <f t="shared" si="23"/>
        <v>540.1</v>
      </c>
      <c r="AC100" s="60">
        <f t="shared" si="23"/>
        <v>514.70000000000005</v>
      </c>
      <c r="AD100" s="60">
        <f t="shared" si="23"/>
        <v>528</v>
      </c>
      <c r="AE100" s="60">
        <f t="shared" si="23"/>
        <v>530</v>
      </c>
      <c r="AF100" s="60">
        <f t="shared" si="23"/>
        <v>516</v>
      </c>
      <c r="AG100" s="87"/>
      <c r="AH100" s="47">
        <f t="shared" si="11"/>
        <v>646</v>
      </c>
      <c r="AI100" s="48">
        <f t="shared" si="12"/>
        <v>0</v>
      </c>
    </row>
    <row r="101" spans="1:37" x14ac:dyDescent="0.25">
      <c r="A101" s="99" t="s">
        <v>109</v>
      </c>
      <c r="B101" s="100">
        <v>50</v>
      </c>
      <c r="C101" s="100">
        <v>49.898000000000003</v>
      </c>
      <c r="D101" s="100">
        <v>49.981000000000002</v>
      </c>
      <c r="E101" s="100">
        <v>49.988</v>
      </c>
      <c r="F101" s="100">
        <v>49.966000000000001</v>
      </c>
      <c r="G101" s="100">
        <v>49.965000000000003</v>
      </c>
      <c r="H101" s="100"/>
      <c r="I101" s="100"/>
      <c r="J101" s="100">
        <v>49.881999999999998</v>
      </c>
      <c r="K101" s="100">
        <v>49.869</v>
      </c>
      <c r="L101" s="100">
        <v>49.970999999999997</v>
      </c>
      <c r="M101" s="100">
        <v>50.006</v>
      </c>
      <c r="N101" s="100">
        <v>49.999000000000002</v>
      </c>
      <c r="O101" s="100">
        <v>50.113</v>
      </c>
      <c r="P101" s="100">
        <v>50.162999999999997</v>
      </c>
      <c r="Q101" s="100">
        <v>50.134</v>
      </c>
      <c r="R101" s="100">
        <v>50.13</v>
      </c>
      <c r="S101" s="100">
        <v>50.207999999999998</v>
      </c>
      <c r="T101" s="100">
        <v>50.122</v>
      </c>
      <c r="U101" s="100">
        <v>49.95</v>
      </c>
      <c r="V101" s="100">
        <v>49.99</v>
      </c>
      <c r="W101" s="100">
        <v>49.904000000000003</v>
      </c>
      <c r="X101" s="100">
        <v>50</v>
      </c>
      <c r="Y101" s="100">
        <v>50.109000000000002</v>
      </c>
      <c r="Z101" s="100">
        <v>50.13</v>
      </c>
      <c r="AA101" s="100">
        <v>50.045000000000002</v>
      </c>
      <c r="AB101" s="100">
        <v>50.055999999999997</v>
      </c>
      <c r="AC101" s="100">
        <v>49.975000000000001</v>
      </c>
      <c r="AD101" s="100">
        <v>50.018000000000001</v>
      </c>
      <c r="AE101" s="100">
        <v>50.040999999999997</v>
      </c>
      <c r="AF101" s="100">
        <v>49.994999999999997</v>
      </c>
      <c r="AG101" s="101"/>
      <c r="AH101" s="47">
        <f t="shared" si="11"/>
        <v>50.207999999999998</v>
      </c>
      <c r="AI101" s="48">
        <f t="shared" si="12"/>
        <v>49.869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1"/>
        <v>0</v>
      </c>
      <c r="AI102" s="48">
        <f t="shared" si="12"/>
        <v>0</v>
      </c>
    </row>
    <row r="103" spans="1:37" x14ac:dyDescent="0.25">
      <c r="A103" s="102" t="s">
        <v>111</v>
      </c>
      <c r="B103" s="64">
        <v>129.4</v>
      </c>
      <c r="C103" s="64">
        <v>129</v>
      </c>
      <c r="D103" s="64">
        <v>129.80000000000001</v>
      </c>
      <c r="E103" s="64">
        <v>130.69999999999999</v>
      </c>
      <c r="F103" s="64">
        <v>129.6</v>
      </c>
      <c r="G103" s="64">
        <v>129.9</v>
      </c>
      <c r="H103" s="64"/>
      <c r="I103" s="64"/>
      <c r="J103" s="64">
        <v>127.2</v>
      </c>
      <c r="K103" s="64">
        <v>128.4</v>
      </c>
      <c r="L103" s="64">
        <v>126.6</v>
      </c>
      <c r="M103" s="64">
        <v>124.1</v>
      </c>
      <c r="N103" s="64">
        <v>125.4</v>
      </c>
      <c r="O103" s="64">
        <v>125.9</v>
      </c>
      <c r="P103" s="64">
        <v>124.6</v>
      </c>
      <c r="Q103" s="64">
        <v>124.9</v>
      </c>
      <c r="R103" s="64">
        <v>127.7</v>
      </c>
      <c r="S103" s="64">
        <v>126.6</v>
      </c>
      <c r="T103" s="64">
        <v>127</v>
      </c>
      <c r="U103" s="64">
        <v>127</v>
      </c>
      <c r="V103" s="64">
        <v>127.1</v>
      </c>
      <c r="W103" s="64">
        <v>128.19999999999999</v>
      </c>
      <c r="X103" s="64">
        <v>127.5</v>
      </c>
      <c r="Y103" s="64">
        <v>126.8</v>
      </c>
      <c r="Z103" s="64">
        <v>126.8</v>
      </c>
      <c r="AA103" s="64">
        <v>128.1</v>
      </c>
      <c r="AB103" s="64">
        <v>128.4</v>
      </c>
      <c r="AC103" s="64">
        <v>128.4</v>
      </c>
      <c r="AD103" s="64">
        <v>128.5</v>
      </c>
      <c r="AE103" s="64">
        <v>130.6</v>
      </c>
      <c r="AF103" s="64">
        <v>130.5</v>
      </c>
      <c r="AG103" s="103"/>
      <c r="AH103" s="47">
        <f t="shared" si="11"/>
        <v>130.69999999999999</v>
      </c>
      <c r="AI103" s="48">
        <f t="shared" si="12"/>
        <v>124.1</v>
      </c>
    </row>
    <row r="104" spans="1:37" x14ac:dyDescent="0.25">
      <c r="A104" s="102" t="s">
        <v>112</v>
      </c>
      <c r="B104" s="64">
        <v>129.19999999999999</v>
      </c>
      <c r="C104" s="64">
        <v>129.9</v>
      </c>
      <c r="D104" s="64">
        <v>129.80000000000001</v>
      </c>
      <c r="E104" s="64">
        <v>130.80000000000001</v>
      </c>
      <c r="F104" s="64">
        <v>130.80000000000001</v>
      </c>
      <c r="G104" s="64">
        <v>130.6</v>
      </c>
      <c r="H104" s="64"/>
      <c r="I104" s="64"/>
      <c r="J104" s="64">
        <v>127.8</v>
      </c>
      <c r="K104" s="64">
        <v>130</v>
      </c>
      <c r="L104" s="64">
        <v>128.69999999999999</v>
      </c>
      <c r="M104" s="64">
        <v>128.9</v>
      </c>
      <c r="N104" s="64">
        <v>129.4</v>
      </c>
      <c r="O104" s="64">
        <v>129.5</v>
      </c>
      <c r="P104" s="64">
        <v>130.30000000000001</v>
      </c>
      <c r="Q104" s="64">
        <v>131.19999999999999</v>
      </c>
      <c r="R104" s="64">
        <v>130.6</v>
      </c>
      <c r="S104" s="64">
        <v>130.30000000000001</v>
      </c>
      <c r="T104" s="64">
        <v>129.69999999999999</v>
      </c>
      <c r="U104" s="64">
        <v>129.69999999999999</v>
      </c>
      <c r="V104" s="64">
        <v>131.19999999999999</v>
      </c>
      <c r="W104" s="64">
        <v>130.69999999999999</v>
      </c>
      <c r="X104" s="64">
        <v>130.69999999999999</v>
      </c>
      <c r="Y104" s="64">
        <v>129.1</v>
      </c>
      <c r="Z104" s="64">
        <v>129.1</v>
      </c>
      <c r="AA104" s="64">
        <v>130.9</v>
      </c>
      <c r="AB104" s="64">
        <v>130.6</v>
      </c>
      <c r="AC104" s="64">
        <v>131.19999999999999</v>
      </c>
      <c r="AD104" s="64">
        <v>131</v>
      </c>
      <c r="AE104" s="64">
        <v>130</v>
      </c>
      <c r="AF104" s="64">
        <v>130</v>
      </c>
      <c r="AG104" s="103"/>
      <c r="AH104" s="47">
        <f t="shared" si="11"/>
        <v>131.19999999999999</v>
      </c>
      <c r="AI104" s="48">
        <f t="shared" si="12"/>
        <v>127.8</v>
      </c>
    </row>
    <row r="105" spans="1:37" x14ac:dyDescent="0.25">
      <c r="A105" s="104" t="s">
        <v>113</v>
      </c>
      <c r="B105" s="64">
        <v>132.9</v>
      </c>
      <c r="C105" s="64">
        <v>132.9</v>
      </c>
      <c r="D105" s="64">
        <v>132.9</v>
      </c>
      <c r="E105" s="64">
        <v>133.80000000000001</v>
      </c>
      <c r="F105" s="64">
        <v>134.30000000000001</v>
      </c>
      <c r="G105" s="64">
        <v>133.9</v>
      </c>
      <c r="H105" s="64"/>
      <c r="I105" s="64"/>
      <c r="J105" s="64">
        <v>130.69999999999999</v>
      </c>
      <c r="K105" s="64">
        <v>133.19999999999999</v>
      </c>
      <c r="L105" s="64">
        <v>131.6</v>
      </c>
      <c r="M105" s="64">
        <v>132.6</v>
      </c>
      <c r="N105" s="64">
        <v>133.80000000000001</v>
      </c>
      <c r="O105" s="64">
        <v>132.9</v>
      </c>
      <c r="P105" s="64">
        <v>134.80000000000001</v>
      </c>
      <c r="Q105" s="64">
        <v>133</v>
      </c>
      <c r="R105" s="64">
        <v>132.69999999999999</v>
      </c>
      <c r="S105" s="64">
        <v>134.6</v>
      </c>
      <c r="T105" s="64">
        <v>133.69999999999999</v>
      </c>
      <c r="U105" s="64">
        <v>133.69999999999999</v>
      </c>
      <c r="V105" s="64">
        <v>134.4</v>
      </c>
      <c r="W105" s="64">
        <v>133.69999999999999</v>
      </c>
      <c r="X105" s="64">
        <v>133.4</v>
      </c>
      <c r="Y105" s="64">
        <v>131.4</v>
      </c>
      <c r="Z105" s="64">
        <v>131.4</v>
      </c>
      <c r="AA105" s="64">
        <v>132.5</v>
      </c>
      <c r="AB105" s="64">
        <v>133.19999999999999</v>
      </c>
      <c r="AC105" s="64">
        <v>133.69999999999999</v>
      </c>
      <c r="AD105" s="64">
        <v>132.19999999999999</v>
      </c>
      <c r="AE105" s="64">
        <v>131.69999999999999</v>
      </c>
      <c r="AF105" s="64">
        <v>132.19999999999999</v>
      </c>
      <c r="AG105" s="103"/>
      <c r="AH105" s="47">
        <f t="shared" si="11"/>
        <v>134.80000000000001</v>
      </c>
      <c r="AI105" s="48">
        <f t="shared" si="12"/>
        <v>130.69999999999999</v>
      </c>
    </row>
    <row r="106" spans="1:37" x14ac:dyDescent="0.25">
      <c r="A106" s="104" t="s">
        <v>114</v>
      </c>
      <c r="B106" s="105">
        <v>132.1</v>
      </c>
      <c r="C106" s="105">
        <v>134</v>
      </c>
      <c r="D106" s="105">
        <v>134.5</v>
      </c>
      <c r="E106" s="105">
        <v>133.80000000000001</v>
      </c>
      <c r="F106" s="105">
        <v>130.5</v>
      </c>
      <c r="G106" s="105">
        <v>133</v>
      </c>
      <c r="H106" s="105"/>
      <c r="I106" s="105"/>
      <c r="J106" s="105">
        <v>132.4</v>
      </c>
      <c r="K106" s="105">
        <v>133.5</v>
      </c>
      <c r="L106" s="105">
        <v>135.1</v>
      </c>
      <c r="M106" s="105">
        <v>132.80000000000001</v>
      </c>
      <c r="N106" s="105">
        <v>133.5</v>
      </c>
      <c r="O106" s="105">
        <v>134.6</v>
      </c>
      <c r="P106" s="105">
        <v>130</v>
      </c>
      <c r="Q106" s="105">
        <v>130.6</v>
      </c>
      <c r="R106" s="105">
        <v>131.30000000000001</v>
      </c>
      <c r="S106" s="105">
        <v>130.1</v>
      </c>
      <c r="T106" s="105">
        <v>132.19999999999999</v>
      </c>
      <c r="U106" s="105">
        <v>132.19999999999999</v>
      </c>
      <c r="V106" s="105">
        <v>131.9</v>
      </c>
      <c r="W106" s="105">
        <v>132.6</v>
      </c>
      <c r="X106" s="105">
        <v>132.80000000000001</v>
      </c>
      <c r="Y106" s="105">
        <v>134.6</v>
      </c>
      <c r="Z106" s="105">
        <v>134.6</v>
      </c>
      <c r="AA106" s="105">
        <v>135</v>
      </c>
      <c r="AB106" s="105">
        <v>134.5</v>
      </c>
      <c r="AC106" s="105">
        <v>134.5</v>
      </c>
      <c r="AD106" s="105">
        <v>133.5</v>
      </c>
      <c r="AE106" s="105">
        <v>131.80000000000001</v>
      </c>
      <c r="AF106" s="105">
        <v>131.19999999999999</v>
      </c>
      <c r="AG106" s="106"/>
      <c r="AH106" s="47">
        <f t="shared" si="11"/>
        <v>135.1</v>
      </c>
      <c r="AI106" s="48">
        <f t="shared" si="12"/>
        <v>130</v>
      </c>
    </row>
    <row r="107" spans="1:37" x14ac:dyDescent="0.25">
      <c r="A107" s="102" t="s">
        <v>115</v>
      </c>
      <c r="B107" s="64">
        <v>135</v>
      </c>
      <c r="C107" s="64">
        <v>140</v>
      </c>
      <c r="D107" s="64">
        <v>136.1</v>
      </c>
      <c r="E107" s="64">
        <v>135.9</v>
      </c>
      <c r="F107" s="64">
        <v>129.6</v>
      </c>
      <c r="G107" s="64">
        <v>130.9</v>
      </c>
      <c r="H107" s="64"/>
      <c r="I107" s="64"/>
      <c r="J107" s="64">
        <v>132.1</v>
      </c>
      <c r="K107" s="64">
        <v>134.4</v>
      </c>
      <c r="L107" s="64">
        <v>136.69999999999999</v>
      </c>
      <c r="M107" s="64">
        <v>131.80000000000001</v>
      </c>
      <c r="N107" s="64">
        <v>129.19999999999999</v>
      </c>
      <c r="O107" s="64">
        <v>129.1</v>
      </c>
      <c r="P107" s="64">
        <v>130.30000000000001</v>
      </c>
      <c r="Q107" s="64">
        <v>130.1</v>
      </c>
      <c r="R107" s="64">
        <v>131</v>
      </c>
      <c r="S107" s="64">
        <v>131.1</v>
      </c>
      <c r="T107" s="64">
        <v>135</v>
      </c>
      <c r="U107" s="64">
        <v>135</v>
      </c>
      <c r="V107" s="64">
        <v>131</v>
      </c>
      <c r="W107" s="64">
        <v>131.6</v>
      </c>
      <c r="X107" s="64">
        <v>129.4</v>
      </c>
      <c r="Y107" s="64">
        <v>131.19999999999999</v>
      </c>
      <c r="Z107" s="64">
        <v>131.19999999999999</v>
      </c>
      <c r="AA107" s="64">
        <v>129.19999999999999</v>
      </c>
      <c r="AB107" s="64">
        <v>134</v>
      </c>
      <c r="AC107" s="64">
        <v>131.19999999999999</v>
      </c>
      <c r="AD107" s="64">
        <v>133.5</v>
      </c>
      <c r="AE107" s="64">
        <v>134.80000000000001</v>
      </c>
      <c r="AF107" s="64">
        <v>132</v>
      </c>
      <c r="AG107" s="103"/>
      <c r="AH107" s="47">
        <f t="shared" si="11"/>
        <v>140</v>
      </c>
      <c r="AI107" s="48">
        <f t="shared" si="12"/>
        <v>129.1</v>
      </c>
    </row>
    <row r="108" spans="1:37" ht="15.75" thickBot="1" x14ac:dyDescent="0.3">
      <c r="A108" s="102" t="s">
        <v>116</v>
      </c>
      <c r="B108" s="91">
        <v>65</v>
      </c>
      <c r="C108" s="91">
        <v>64.8</v>
      </c>
      <c r="D108" s="91">
        <v>65.400000000000006</v>
      </c>
      <c r="E108" s="91">
        <v>65.7</v>
      </c>
      <c r="F108" s="91">
        <v>65.2</v>
      </c>
      <c r="G108" s="91">
        <v>65.2</v>
      </c>
      <c r="H108" s="91"/>
      <c r="I108" s="91"/>
      <c r="J108" s="91">
        <v>63.8</v>
      </c>
      <c r="K108" s="91">
        <v>64.400000000000006</v>
      </c>
      <c r="L108" s="91">
        <v>64.099999999999994</v>
      </c>
      <c r="M108" s="91">
        <v>62.3</v>
      </c>
      <c r="N108" s="91">
        <v>63</v>
      </c>
      <c r="O108" s="91">
        <v>63</v>
      </c>
      <c r="P108" s="91">
        <v>62.5</v>
      </c>
      <c r="Q108" s="91">
        <v>62.5</v>
      </c>
      <c r="R108" s="91">
        <v>64.2</v>
      </c>
      <c r="S108" s="91">
        <v>64.2</v>
      </c>
      <c r="T108" s="91">
        <v>63.7</v>
      </c>
      <c r="U108" s="91">
        <v>63.7</v>
      </c>
      <c r="V108" s="91">
        <v>63.9</v>
      </c>
      <c r="W108" s="91">
        <v>64.400000000000006</v>
      </c>
      <c r="X108" s="91">
        <v>64</v>
      </c>
      <c r="Y108" s="91">
        <v>63.7</v>
      </c>
      <c r="Z108" s="91">
        <v>63.7</v>
      </c>
      <c r="AA108" s="91">
        <v>63.7</v>
      </c>
      <c r="AB108" s="91">
        <v>64.7</v>
      </c>
      <c r="AC108" s="91">
        <v>64.7</v>
      </c>
      <c r="AD108" s="91">
        <v>64.599999999999994</v>
      </c>
      <c r="AE108" s="91">
        <v>65.8</v>
      </c>
      <c r="AF108" s="91">
        <v>65.599999999999994</v>
      </c>
      <c r="AG108" s="107"/>
      <c r="AH108" s="47">
        <f t="shared" si="11"/>
        <v>65.8</v>
      </c>
      <c r="AI108" s="48">
        <f t="shared" si="12"/>
        <v>62.3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1"/>
        <v>0</v>
      </c>
      <c r="AI109" s="48">
        <f t="shared" si="12"/>
        <v>0</v>
      </c>
    </row>
    <row r="110" spans="1:37" ht="15.75" thickBot="1" x14ac:dyDescent="0.3">
      <c r="A110" s="109" t="s">
        <v>118</v>
      </c>
      <c r="B110" s="110">
        <f t="shared" ref="B110:O110" si="25">SUM(B20,B26,B29:B30,B58,B60:B61,B63,B65,B111:B115,B138,B144,B150,B159,B161,B173,B180,B183:B184,B191,B193,B195,B199:B201,B203:B205,B210,B216:B217,B219:B221,B229,B234)</f>
        <v>31.699999999999996</v>
      </c>
      <c r="C110" s="110">
        <f t="shared" si="25"/>
        <v>17.340000000000007</v>
      </c>
      <c r="D110" s="110">
        <f t="shared" si="25"/>
        <v>16.739999999999984</v>
      </c>
      <c r="E110" s="110">
        <f t="shared" si="25"/>
        <v>15.539999999999985</v>
      </c>
      <c r="F110" s="110">
        <f t="shared" si="25"/>
        <v>18.240000000000013</v>
      </c>
      <c r="G110" s="110">
        <f t="shared" si="25"/>
        <v>38.239999999999995</v>
      </c>
      <c r="H110" s="110">
        <f>SUM(H20,H26,H29:H30,H58,H60:H61,H63,H65,H111:H115,H138,H144,H150,H159,H161,H173,H180,H183:H184,H191,H193,H195,H199:H201,H203:H205,H210,H216:H217,H219:H221,H229,H234)</f>
        <v>0.94</v>
      </c>
      <c r="I110" s="110">
        <f t="shared" si="25"/>
        <v>0.94</v>
      </c>
      <c r="J110" s="110">
        <f>SUM(J20,J26,J29:J30,J58,J60:J61,J63,J65,J111:J115,J138,J144,J150,J159,J161,J173,J180,J183:J184,J191,J193,J195,J199:J201,J203:J205,J210,J216:J217,J219:J221,J229,J234)</f>
        <v>142.13999999999999</v>
      </c>
      <c r="K110" s="110">
        <f t="shared" si="25"/>
        <v>181.53999999999996</v>
      </c>
      <c r="L110" s="110">
        <f t="shared" si="25"/>
        <v>235.83999999999997</v>
      </c>
      <c r="M110" s="110">
        <f>SUM(M20,M26,M29:M30,M58,M60:M61,M63,M65,M111:M115,M138,M144,M150,M159,M161,M173,M180,M183:M184,M191,M193,M195,M199:M201,M203:M205,M210,M216:M217,M219:M221,M229,M234)</f>
        <v>244.74</v>
      </c>
      <c r="N110" s="110">
        <f t="shared" si="25"/>
        <v>215.64</v>
      </c>
      <c r="O110" s="110">
        <f t="shared" si="25"/>
        <v>221.04</v>
      </c>
      <c r="P110" s="110">
        <f t="shared" ref="P110:AC110" si="26">SUM(P20,P26,P29:P30,P58,P60:P61,P63,P65,P111:P115,P138,P144,P150,P159,P161,P173,P180,P183:P184,P191,P193,P195,P199:P201,P203:P205,P210,P216:P217,P219:P221,P229,P234)</f>
        <v>228.23999999999998</v>
      </c>
      <c r="Q110" s="110">
        <f t="shared" si="26"/>
        <v>211.90000000000003</v>
      </c>
      <c r="R110" s="110">
        <f t="shared" si="26"/>
        <v>204.00000000000006</v>
      </c>
      <c r="S110" s="110">
        <f t="shared" si="26"/>
        <v>212.60000000000002</v>
      </c>
      <c r="T110" s="110">
        <f t="shared" si="26"/>
        <v>211.49999999999997</v>
      </c>
      <c r="U110" s="110">
        <f t="shared" si="26"/>
        <v>217.40000000000003</v>
      </c>
      <c r="V110" s="110">
        <f t="shared" si="26"/>
        <v>244.50000000000006</v>
      </c>
      <c r="W110" s="110">
        <f t="shared" si="26"/>
        <v>245.10000000000002</v>
      </c>
      <c r="X110" s="110">
        <f t="shared" si="26"/>
        <v>259.00000000000006</v>
      </c>
      <c r="Y110" s="110">
        <f t="shared" si="26"/>
        <v>293.10000000000002</v>
      </c>
      <c r="Z110" s="110">
        <f t="shared" si="26"/>
        <v>258</v>
      </c>
      <c r="AA110" s="110">
        <f t="shared" si="26"/>
        <v>234.49999999999994</v>
      </c>
      <c r="AB110" s="110">
        <f t="shared" si="26"/>
        <v>212.59999999999997</v>
      </c>
      <c r="AC110" s="110">
        <f t="shared" si="26"/>
        <v>218.8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129.59999999999997</v>
      </c>
      <c r="AF110" s="110">
        <f>SUM(AF20,AF26,AF29:AF30,AF58,AF60:AF61,AF63,AF65,AF111:AF115,AF138,AF144,AF150,AF159,AF161,AF173,AF180,AF183:AF184,AF191,AF193,AF195,AF199:AF201,AF203:AF205,AF210,AF216:AF217,AF219:AF221,AF229,AF234)</f>
        <v>107.89999999999998</v>
      </c>
      <c r="AG110" s="111"/>
      <c r="AH110" s="47">
        <f t="shared" si="11"/>
        <v>293.10000000000002</v>
      </c>
      <c r="AI110" s="48">
        <f t="shared" si="12"/>
        <v>0.94</v>
      </c>
    </row>
    <row r="111" spans="1:37" x14ac:dyDescent="0.25">
      <c r="A111" s="99" t="s">
        <v>119</v>
      </c>
      <c r="B111" s="112">
        <v>7.6</v>
      </c>
      <c r="C111" s="112">
        <v>8.3000000000000007</v>
      </c>
      <c r="D111" s="112">
        <v>11.7</v>
      </c>
      <c r="E111" s="112">
        <v>7.7</v>
      </c>
      <c r="F111" s="112">
        <v>11.3</v>
      </c>
      <c r="G111" s="112">
        <v>20.3</v>
      </c>
      <c r="H111" s="112"/>
      <c r="I111" s="112"/>
      <c r="J111" s="112">
        <v>39.4</v>
      </c>
      <c r="K111" s="112">
        <v>39.1</v>
      </c>
      <c r="L111" s="112">
        <v>65.2</v>
      </c>
      <c r="M111" s="112">
        <v>66.8</v>
      </c>
      <c r="N111" s="112">
        <v>62.6</v>
      </c>
      <c r="O111" s="112">
        <v>61.8</v>
      </c>
      <c r="P111" s="112">
        <v>74.099999999999994</v>
      </c>
      <c r="Q111" s="112">
        <v>64.400000000000006</v>
      </c>
      <c r="R111" s="112">
        <v>44.9</v>
      </c>
      <c r="S111" s="112">
        <v>46.7</v>
      </c>
      <c r="T111" s="112">
        <v>51.8</v>
      </c>
      <c r="U111" s="112">
        <v>52.2</v>
      </c>
      <c r="V111" s="112">
        <v>42.9</v>
      </c>
      <c r="W111" s="112">
        <v>44</v>
      </c>
      <c r="X111" s="112">
        <v>41.9</v>
      </c>
      <c r="Y111" s="112">
        <v>45</v>
      </c>
      <c r="Z111" s="112">
        <v>53.7</v>
      </c>
      <c r="AA111" s="112">
        <v>44.3</v>
      </c>
      <c r="AB111" s="112">
        <v>43.9</v>
      </c>
      <c r="AC111" s="112">
        <v>42.6</v>
      </c>
      <c r="AD111" s="112">
        <v>50.3</v>
      </c>
      <c r="AE111" s="112">
        <v>27.2</v>
      </c>
      <c r="AF111" s="112">
        <v>18.600000000000001</v>
      </c>
      <c r="AG111" s="113">
        <v>75</v>
      </c>
      <c r="AH111" s="47">
        <f t="shared" si="11"/>
        <v>74.099999999999994</v>
      </c>
      <c r="AI111" s="48">
        <f t="shared" si="12"/>
        <v>7.6</v>
      </c>
    </row>
    <row r="112" spans="1:37" x14ac:dyDescent="0.25">
      <c r="A112" s="102" t="s">
        <v>120</v>
      </c>
      <c r="B112" s="114">
        <v>12.4</v>
      </c>
      <c r="C112" s="114">
        <v>15</v>
      </c>
      <c r="D112" s="114">
        <v>19</v>
      </c>
      <c r="E112" s="114">
        <v>14.7</v>
      </c>
      <c r="F112" s="114">
        <v>17.899999999999999</v>
      </c>
      <c r="G112" s="114">
        <v>31.2</v>
      </c>
      <c r="H112" s="114"/>
      <c r="I112" s="114"/>
      <c r="J112" s="114">
        <v>52.2</v>
      </c>
      <c r="K112" s="114">
        <v>54</v>
      </c>
      <c r="L112" s="114">
        <v>92.5</v>
      </c>
      <c r="M112" s="114">
        <v>95.5</v>
      </c>
      <c r="N112" s="114">
        <v>90</v>
      </c>
      <c r="O112" s="114">
        <v>90.4</v>
      </c>
      <c r="P112" s="114">
        <v>106.5</v>
      </c>
      <c r="Q112" s="114">
        <v>89.6</v>
      </c>
      <c r="R112" s="114">
        <v>62.3</v>
      </c>
      <c r="S112" s="114">
        <v>66.099999999999994</v>
      </c>
      <c r="T112" s="114">
        <v>74</v>
      </c>
      <c r="U112" s="114">
        <v>75.400000000000006</v>
      </c>
      <c r="V112" s="114">
        <v>59.8</v>
      </c>
      <c r="W112" s="114">
        <v>59.1</v>
      </c>
      <c r="X112" s="114">
        <v>57.1</v>
      </c>
      <c r="Y112" s="114">
        <v>61.5</v>
      </c>
      <c r="Z112" s="114">
        <v>38.700000000000003</v>
      </c>
      <c r="AA112" s="114">
        <v>61.9</v>
      </c>
      <c r="AB112" s="114">
        <v>62.9</v>
      </c>
      <c r="AC112" s="114">
        <v>58.7</v>
      </c>
      <c r="AD112" s="114">
        <v>70</v>
      </c>
      <c r="AE112" s="114">
        <v>37.1</v>
      </c>
      <c r="AF112" s="114">
        <v>25.6</v>
      </c>
      <c r="AG112" s="113">
        <v>240</v>
      </c>
      <c r="AH112" s="47">
        <f t="shared" si="11"/>
        <v>106.5</v>
      </c>
      <c r="AI112" s="48">
        <f t="shared" si="12"/>
        <v>12.4</v>
      </c>
    </row>
    <row r="113" spans="1:37" x14ac:dyDescent="0.25">
      <c r="A113" s="102" t="s">
        <v>121</v>
      </c>
      <c r="B113" s="114">
        <v>-133</v>
      </c>
      <c r="C113" s="114">
        <v>-149</v>
      </c>
      <c r="D113" s="114">
        <v>-154</v>
      </c>
      <c r="E113" s="114">
        <f>-73.1-76.1</f>
        <v>-149.19999999999999</v>
      </c>
      <c r="F113" s="114">
        <f>-74.3-78.2</f>
        <v>-152.5</v>
      </c>
      <c r="G113" s="114">
        <f>-71.4-76.5</f>
        <v>-147.9</v>
      </c>
      <c r="H113" s="114"/>
      <c r="I113" s="114"/>
      <c r="J113" s="114">
        <f>-67.9-73.9</f>
        <v>-141.80000000000001</v>
      </c>
      <c r="K113" s="114">
        <f>-63.3-68</f>
        <v>-131.30000000000001</v>
      </c>
      <c r="L113" s="114">
        <f>-81.7-88.1</f>
        <v>-169.8</v>
      </c>
      <c r="M113" s="114">
        <v>-158.19999999999999</v>
      </c>
      <c r="N113" s="114">
        <v>-180</v>
      </c>
      <c r="O113" s="114">
        <v>-164</v>
      </c>
      <c r="P113" s="114">
        <v>-191</v>
      </c>
      <c r="Q113" s="114">
        <v>-166</v>
      </c>
      <c r="R113" s="114">
        <v>-97</v>
      </c>
      <c r="S113" s="114">
        <v>-94.8</v>
      </c>
      <c r="T113" s="114">
        <v>-102.4</v>
      </c>
      <c r="U113" s="114">
        <v>-119.6</v>
      </c>
      <c r="V113" s="114">
        <v>-98.7</v>
      </c>
      <c r="W113" s="114">
        <v>-93.5</v>
      </c>
      <c r="X113" s="114">
        <v>-77.7</v>
      </c>
      <c r="Y113" s="114">
        <v>-66.900000000000006</v>
      </c>
      <c r="Z113" s="114">
        <v>-89.8</v>
      </c>
      <c r="AA113" s="114">
        <v>-110.7</v>
      </c>
      <c r="AB113" s="114">
        <v>-131</v>
      </c>
      <c r="AC113" s="114">
        <v>-116.1</v>
      </c>
      <c r="AD113" s="114">
        <v>-162</v>
      </c>
      <c r="AE113" s="114">
        <v>-130</v>
      </c>
      <c r="AF113" s="114">
        <v>-115</v>
      </c>
      <c r="AG113" s="113">
        <v>240</v>
      </c>
      <c r="AH113" s="47">
        <f t="shared" si="11"/>
        <v>-66.900000000000006</v>
      </c>
      <c r="AI113" s="48">
        <f t="shared" si="12"/>
        <v>-191</v>
      </c>
    </row>
    <row r="114" spans="1:37" x14ac:dyDescent="0.25">
      <c r="A114" s="102" t="s">
        <v>122</v>
      </c>
      <c r="B114" s="114">
        <v>-6.4</v>
      </c>
      <c r="C114" s="114">
        <v>-9</v>
      </c>
      <c r="D114" s="114">
        <v>-12</v>
      </c>
      <c r="E114" s="114">
        <v>-10.7</v>
      </c>
      <c r="F114" s="114">
        <v>-11.5</v>
      </c>
      <c r="G114" s="114">
        <v>-23.8</v>
      </c>
      <c r="H114" s="114"/>
      <c r="I114" s="114"/>
      <c r="J114" s="114">
        <v>0.2</v>
      </c>
      <c r="K114" s="114">
        <v>4.5999999999999996</v>
      </c>
      <c r="L114" s="114">
        <v>5.5</v>
      </c>
      <c r="M114" s="114">
        <v>-2.5</v>
      </c>
      <c r="N114" s="114">
        <v>-5.5</v>
      </c>
      <c r="O114" s="114">
        <v>-3.5</v>
      </c>
      <c r="P114" s="114">
        <v>-5.4</v>
      </c>
      <c r="Q114" s="114">
        <v>-5.2</v>
      </c>
      <c r="R114" s="114">
        <v>4.8</v>
      </c>
      <c r="S114" s="114">
        <v>8.1999999999999993</v>
      </c>
      <c r="T114" s="114">
        <v>2.7</v>
      </c>
      <c r="U114" s="114">
        <v>2.4</v>
      </c>
      <c r="V114" s="114">
        <v>10.5</v>
      </c>
      <c r="W114" s="114">
        <v>12.1</v>
      </c>
      <c r="X114" s="114">
        <v>15.1</v>
      </c>
      <c r="Y114" s="114">
        <v>24.1</v>
      </c>
      <c r="Z114" s="114">
        <v>30.4</v>
      </c>
      <c r="AA114" s="114">
        <v>9.5</v>
      </c>
      <c r="AB114" s="114">
        <v>5.4</v>
      </c>
      <c r="AC114" s="114">
        <v>7.3</v>
      </c>
      <c r="AD114" s="114">
        <v>0.5</v>
      </c>
      <c r="AE114" s="114">
        <v>-3.3</v>
      </c>
      <c r="AF114" s="114">
        <v>-7</v>
      </c>
      <c r="AG114" s="113">
        <v>60</v>
      </c>
      <c r="AH114" s="47">
        <f t="shared" si="11"/>
        <v>30.4</v>
      </c>
      <c r="AI114" s="48">
        <f t="shared" si="12"/>
        <v>-23.8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/>
      <c r="I115" s="116"/>
      <c r="J115" s="116">
        <v>24.1</v>
      </c>
      <c r="K115" s="116">
        <v>47.9</v>
      </c>
      <c r="L115" s="116">
        <v>58.8</v>
      </c>
      <c r="M115" s="116">
        <v>59</v>
      </c>
      <c r="N115" s="116">
        <v>61.3</v>
      </c>
      <c r="O115" s="116">
        <v>47.6</v>
      </c>
      <c r="P115" s="116">
        <v>54</v>
      </c>
      <c r="Q115" s="116">
        <v>50</v>
      </c>
      <c r="R115" s="116">
        <v>0</v>
      </c>
      <c r="S115" s="116">
        <v>0</v>
      </c>
      <c r="T115" s="116">
        <v>0</v>
      </c>
      <c r="U115" s="116">
        <v>21.5</v>
      </c>
      <c r="V115" s="116">
        <v>44.5</v>
      </c>
      <c r="W115" s="116">
        <v>44.2</v>
      </c>
      <c r="X115" s="116">
        <v>43.4</v>
      </c>
      <c r="Y115" s="116">
        <v>50.2</v>
      </c>
      <c r="Z115" s="116">
        <v>54.5</v>
      </c>
      <c r="AA115" s="116">
        <v>55.2</v>
      </c>
      <c r="AB115" s="116">
        <v>51.8</v>
      </c>
      <c r="AC115" s="116">
        <v>56.3</v>
      </c>
      <c r="AD115" s="116">
        <v>61.8</v>
      </c>
      <c r="AE115" s="116">
        <v>39</v>
      </c>
      <c r="AF115" s="116">
        <v>26.1</v>
      </c>
      <c r="AG115" s="117">
        <v>120</v>
      </c>
      <c r="AH115" s="47">
        <f t="shared" si="11"/>
        <v>61.8</v>
      </c>
      <c r="AI115" s="48">
        <f t="shared" si="12"/>
        <v>0</v>
      </c>
    </row>
    <row r="116" spans="1:37" x14ac:dyDescent="0.25">
      <c r="A116" s="115" t="s">
        <v>124</v>
      </c>
      <c r="B116" s="116">
        <v>52</v>
      </c>
      <c r="C116" s="116">
        <v>31</v>
      </c>
      <c r="D116" s="116">
        <v>11</v>
      </c>
      <c r="E116" s="116">
        <v>6.4</v>
      </c>
      <c r="F116" s="116">
        <v>-12</v>
      </c>
      <c r="G116" s="116">
        <v>-4.0999999999999996</v>
      </c>
      <c r="H116" s="116"/>
      <c r="I116" s="116"/>
      <c r="J116" s="116">
        <v>34.9</v>
      </c>
      <c r="K116" s="116">
        <v>58</v>
      </c>
      <c r="L116" s="116">
        <v>11.5</v>
      </c>
      <c r="M116" s="116">
        <v>53.6</v>
      </c>
      <c r="N116" s="116">
        <v>45.1</v>
      </c>
      <c r="O116" s="116">
        <v>70.8</v>
      </c>
      <c r="P116" s="116">
        <v>40.799999999999997</v>
      </c>
      <c r="Q116" s="116">
        <v>72.2</v>
      </c>
      <c r="R116" s="116">
        <v>41.6</v>
      </c>
      <c r="S116" s="116">
        <v>66.7</v>
      </c>
      <c r="T116" s="116">
        <v>42.7</v>
      </c>
      <c r="U116" s="116">
        <v>11</v>
      </c>
      <c r="V116" s="116">
        <v>40.299999999999997</v>
      </c>
      <c r="W116" s="116">
        <v>30</v>
      </c>
      <c r="X116" s="116">
        <v>73.3</v>
      </c>
      <c r="Y116" s="116">
        <v>99.2</v>
      </c>
      <c r="Z116" s="116">
        <v>79.599999999999994</v>
      </c>
      <c r="AA116" s="116">
        <v>34</v>
      </c>
      <c r="AB116" s="116">
        <v>9.6</v>
      </c>
      <c r="AC116" s="116">
        <v>34.9</v>
      </c>
      <c r="AD116" s="116">
        <v>59.1</v>
      </c>
      <c r="AE116" s="116">
        <v>46</v>
      </c>
      <c r="AF116" s="116">
        <v>65</v>
      </c>
      <c r="AG116" s="117"/>
      <c r="AH116" s="47">
        <f t="shared" si="11"/>
        <v>99.2</v>
      </c>
      <c r="AI116" s="48">
        <f t="shared" si="12"/>
        <v>-12</v>
      </c>
    </row>
    <row r="117" spans="1:37" x14ac:dyDescent="0.25">
      <c r="A117" s="115" t="s">
        <v>125</v>
      </c>
      <c r="B117" s="116">
        <v>17</v>
      </c>
      <c r="C117" s="116">
        <v>13</v>
      </c>
      <c r="D117" s="116">
        <v>6</v>
      </c>
      <c r="E117" s="116">
        <v>12.7</v>
      </c>
      <c r="F117" s="116">
        <v>0</v>
      </c>
      <c r="G117" s="116">
        <v>3.2</v>
      </c>
      <c r="H117" s="116"/>
      <c r="I117" s="116"/>
      <c r="J117" s="116">
        <v>35.4</v>
      </c>
      <c r="K117" s="116">
        <v>29.8</v>
      </c>
      <c r="L117" s="116">
        <v>25.5</v>
      </c>
      <c r="M117" s="116">
        <v>27.9</v>
      </c>
      <c r="N117" s="116">
        <v>29.3</v>
      </c>
      <c r="O117" s="116">
        <v>32.299999999999997</v>
      </c>
      <c r="P117" s="116">
        <v>-5.2</v>
      </c>
      <c r="Q117" s="116">
        <v>0</v>
      </c>
      <c r="R117" s="116">
        <v>15.9</v>
      </c>
      <c r="S117" s="116">
        <v>-10.7</v>
      </c>
      <c r="T117" s="116">
        <v>-17.100000000000001</v>
      </c>
      <c r="U117" s="116">
        <v>-21.5</v>
      </c>
      <c r="V117" s="116">
        <v>-12.5</v>
      </c>
      <c r="W117" s="116">
        <v>-13.5</v>
      </c>
      <c r="X117" s="116">
        <v>-8.8000000000000007</v>
      </c>
      <c r="Y117" s="116">
        <v>-8.6</v>
      </c>
      <c r="Z117" s="116">
        <v>-3.4</v>
      </c>
      <c r="AA117" s="116">
        <v>-10.7</v>
      </c>
      <c r="AB117" s="116">
        <v>-10.3</v>
      </c>
      <c r="AC117" s="116">
        <v>-15.6</v>
      </c>
      <c r="AD117" s="116">
        <v>15.8</v>
      </c>
      <c r="AE117" s="116">
        <v>-6.1</v>
      </c>
      <c r="AF117" s="116">
        <v>4</v>
      </c>
      <c r="AG117" s="118"/>
      <c r="AH117" s="47">
        <f t="shared" si="11"/>
        <v>35.4</v>
      </c>
      <c r="AI117" s="48">
        <f t="shared" si="12"/>
        <v>-21.5</v>
      </c>
    </row>
    <row r="118" spans="1:37" x14ac:dyDescent="0.25">
      <c r="A118" s="119" t="s">
        <v>126</v>
      </c>
      <c r="B118" s="105">
        <v>100</v>
      </c>
      <c r="C118" s="105">
        <v>98</v>
      </c>
      <c r="D118" s="105">
        <v>99.7</v>
      </c>
      <c r="E118" s="105">
        <v>100.7</v>
      </c>
      <c r="F118" s="105">
        <v>101</v>
      </c>
      <c r="G118" s="105">
        <v>101.3</v>
      </c>
      <c r="H118" s="105"/>
      <c r="I118" s="105"/>
      <c r="J118" s="105">
        <v>77.599999999999994</v>
      </c>
      <c r="K118" s="105">
        <v>81.099999999999994</v>
      </c>
      <c r="L118" s="105">
        <v>78.3</v>
      </c>
      <c r="M118" s="105">
        <v>74</v>
      </c>
      <c r="N118" s="105">
        <v>80.8</v>
      </c>
      <c r="O118" s="105">
        <v>57.8</v>
      </c>
      <c r="P118" s="105">
        <v>82.4</v>
      </c>
      <c r="Q118" s="105">
        <v>87.3</v>
      </c>
      <c r="R118" s="105">
        <v>86.6</v>
      </c>
      <c r="S118" s="105">
        <v>84.7</v>
      </c>
      <c r="T118" s="105">
        <v>81.7</v>
      </c>
      <c r="U118" s="105">
        <v>81.8</v>
      </c>
      <c r="V118" s="105">
        <v>78</v>
      </c>
      <c r="W118" s="105">
        <v>64.8</v>
      </c>
      <c r="X118" s="105">
        <v>50.8</v>
      </c>
      <c r="Y118" s="105">
        <v>44.4</v>
      </c>
      <c r="Z118" s="105">
        <v>49.9</v>
      </c>
      <c r="AA118" s="105">
        <v>55.3</v>
      </c>
      <c r="AB118" s="105">
        <v>59.6</v>
      </c>
      <c r="AC118" s="105">
        <v>63.5</v>
      </c>
      <c r="AD118" s="105">
        <v>67.2</v>
      </c>
      <c r="AE118" s="105">
        <v>81</v>
      </c>
      <c r="AF118" s="105">
        <v>81.3</v>
      </c>
      <c r="AG118" s="118"/>
      <c r="AH118" s="47">
        <f t="shared" si="11"/>
        <v>101.3</v>
      </c>
      <c r="AI118" s="48">
        <f t="shared" si="12"/>
        <v>44.4</v>
      </c>
    </row>
    <row r="119" spans="1:37" x14ac:dyDescent="0.25">
      <c r="A119" s="120" t="s">
        <v>127</v>
      </c>
      <c r="B119" s="105">
        <v>61</v>
      </c>
      <c r="C119" s="105">
        <v>70</v>
      </c>
      <c r="D119" s="105">
        <v>77.400000000000006</v>
      </c>
      <c r="E119" s="105">
        <v>74.099999999999994</v>
      </c>
      <c r="F119" s="105">
        <v>83.1</v>
      </c>
      <c r="G119" s="105">
        <v>76.599999999999994</v>
      </c>
      <c r="H119" s="105"/>
      <c r="I119" s="105"/>
      <c r="J119" s="105">
        <v>53.9</v>
      </c>
      <c r="K119" s="105">
        <v>48.3</v>
      </c>
      <c r="L119" s="105">
        <v>71.8</v>
      </c>
      <c r="M119" s="105">
        <v>57</v>
      </c>
      <c r="N119" s="105">
        <v>63.6</v>
      </c>
      <c r="O119" s="105">
        <v>53.9</v>
      </c>
      <c r="P119" s="105">
        <v>69.7</v>
      </c>
      <c r="Q119" s="105">
        <v>69.7</v>
      </c>
      <c r="R119" s="105">
        <v>60.7</v>
      </c>
      <c r="S119" s="105">
        <v>52.8</v>
      </c>
      <c r="T119" s="105">
        <v>59.7</v>
      </c>
      <c r="U119" s="105">
        <v>75.8</v>
      </c>
      <c r="V119" s="105">
        <v>57.1</v>
      </c>
      <c r="W119" s="105">
        <v>57.3</v>
      </c>
      <c r="X119" s="105">
        <v>41.2</v>
      </c>
      <c r="Y119" s="105">
        <v>35.4</v>
      </c>
      <c r="Z119" s="105">
        <v>45.2</v>
      </c>
      <c r="AA119" s="105">
        <v>69.3</v>
      </c>
      <c r="AB119" s="105">
        <v>78.2</v>
      </c>
      <c r="AC119" s="105">
        <v>68.599999999999994</v>
      </c>
      <c r="AD119" s="105">
        <v>56.6</v>
      </c>
      <c r="AE119" s="105">
        <v>70</v>
      </c>
      <c r="AF119" s="105">
        <v>52</v>
      </c>
      <c r="AG119" s="118"/>
      <c r="AH119" s="47">
        <f t="shared" si="11"/>
        <v>83.1</v>
      </c>
      <c r="AI119" s="48">
        <f t="shared" si="12"/>
        <v>35.4</v>
      </c>
    </row>
    <row r="120" spans="1:37" ht="15.75" thickBot="1" x14ac:dyDescent="0.3">
      <c r="A120" s="119" t="s">
        <v>128</v>
      </c>
      <c r="B120" s="105">
        <v>-56</v>
      </c>
      <c r="C120" s="105">
        <v>-63</v>
      </c>
      <c r="D120" s="105">
        <v>-63.3</v>
      </c>
      <c r="E120" s="105">
        <v>-60.1</v>
      </c>
      <c r="F120" s="105">
        <v>-61.7</v>
      </c>
      <c r="G120" s="105">
        <v>-64</v>
      </c>
      <c r="H120" s="105"/>
      <c r="I120" s="105"/>
      <c r="J120" s="105">
        <v>-45.5</v>
      </c>
      <c r="K120" s="105">
        <v>-42.9</v>
      </c>
      <c r="L120" s="105">
        <v>-40.200000000000003</v>
      </c>
      <c r="M120" s="105">
        <v>-24.2</v>
      </c>
      <c r="N120" s="105">
        <v>-50</v>
      </c>
      <c r="O120" s="105">
        <v>-26.4</v>
      </c>
      <c r="P120" s="105">
        <f>-39*2</f>
        <v>-78</v>
      </c>
      <c r="Q120" s="105">
        <v>-49</v>
      </c>
      <c r="R120" s="105">
        <v>-43.1</v>
      </c>
      <c r="S120" s="105">
        <v>-31.7</v>
      </c>
      <c r="T120" s="105">
        <v>-26.1</v>
      </c>
      <c r="U120" s="105">
        <v>-31.4</v>
      </c>
      <c r="V120" s="105">
        <v>-41.2</v>
      </c>
      <c r="W120" s="105">
        <v>-35.200000000000003</v>
      </c>
      <c r="X120" s="105">
        <v>-17.399999999999999</v>
      </c>
      <c r="Y120" s="105">
        <v>-6.9</v>
      </c>
      <c r="Z120" s="105">
        <v>-12.7</v>
      </c>
      <c r="AA120" s="105">
        <v>-21.6</v>
      </c>
      <c r="AB120" s="105">
        <v>-22.3</v>
      </c>
      <c r="AC120" s="105">
        <v>-24</v>
      </c>
      <c r="AD120" s="105">
        <v>-29.4</v>
      </c>
      <c r="AE120" s="105">
        <v>-41</v>
      </c>
      <c r="AF120" s="105">
        <v>-40</v>
      </c>
      <c r="AG120" s="118"/>
      <c r="AH120" s="47">
        <f t="shared" si="11"/>
        <v>-6.9</v>
      </c>
      <c r="AI120" s="48">
        <f t="shared" si="12"/>
        <v>-78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7">SUM(B122:B226)</f>
        <v>0</v>
      </c>
      <c r="C227" s="136">
        <f t="shared" si="27"/>
        <v>0</v>
      </c>
      <c r="D227" s="136">
        <f t="shared" si="27"/>
        <v>0</v>
      </c>
      <c r="E227" s="136">
        <f t="shared" si="27"/>
        <v>0</v>
      </c>
      <c r="F227" s="136">
        <f t="shared" si="27"/>
        <v>0</v>
      </c>
      <c r="G227" s="136">
        <f t="shared" si="27"/>
        <v>0</v>
      </c>
      <c r="H227" s="136">
        <f t="shared" si="27"/>
        <v>0</v>
      </c>
      <c r="I227" s="136">
        <f t="shared" si="27"/>
        <v>0</v>
      </c>
      <c r="J227" s="136">
        <f t="shared" si="27"/>
        <v>0</v>
      </c>
      <c r="K227" s="136">
        <f t="shared" si="27"/>
        <v>0</v>
      </c>
      <c r="L227" s="136">
        <f t="shared" si="27"/>
        <v>0</v>
      </c>
      <c r="M227" s="136">
        <f t="shared" si="27"/>
        <v>0</v>
      </c>
      <c r="N227" s="136">
        <f t="shared" si="27"/>
        <v>0</v>
      </c>
      <c r="O227" s="136">
        <f t="shared" si="27"/>
        <v>0</v>
      </c>
      <c r="P227" s="136">
        <f t="shared" si="27"/>
        <v>0</v>
      </c>
      <c r="Q227" s="136">
        <f t="shared" si="27"/>
        <v>0</v>
      </c>
      <c r="R227" s="136">
        <f t="shared" si="27"/>
        <v>0</v>
      </c>
      <c r="S227" s="136">
        <f t="shared" si="27"/>
        <v>0</v>
      </c>
      <c r="T227" s="136">
        <f t="shared" si="27"/>
        <v>0</v>
      </c>
      <c r="U227" s="136">
        <f t="shared" si="27"/>
        <v>0</v>
      </c>
      <c r="V227" s="136">
        <f t="shared" si="27"/>
        <v>0</v>
      </c>
      <c r="W227" s="136">
        <f t="shared" si="27"/>
        <v>0</v>
      </c>
      <c r="X227" s="136">
        <f t="shared" si="27"/>
        <v>0</v>
      </c>
      <c r="Y227" s="136">
        <f t="shared" si="27"/>
        <v>0</v>
      </c>
      <c r="Z227" s="136">
        <f t="shared" si="27"/>
        <v>0</v>
      </c>
      <c r="AA227" s="136">
        <f t="shared" si="27"/>
        <v>0</v>
      </c>
      <c r="AB227" s="136">
        <f t="shared" si="27"/>
        <v>0</v>
      </c>
      <c r="AC227" s="136">
        <f t="shared" si="27"/>
        <v>0</v>
      </c>
      <c r="AD227" s="136">
        <f t="shared" si="27"/>
        <v>0</v>
      </c>
      <c r="AE227" s="136">
        <f t="shared" si="27"/>
        <v>0</v>
      </c>
      <c r="AF227" s="137">
        <f t="shared" si="27"/>
        <v>0</v>
      </c>
      <c r="AG227" s="138">
        <f t="shared" si="27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8">AF229</f>
        <v>0</v>
      </c>
      <c r="C229" s="140">
        <v>0.3</v>
      </c>
      <c r="D229" s="140">
        <f t="shared" ref="D229:P234" si="29">C229</f>
        <v>0.3</v>
      </c>
      <c r="E229" s="140">
        <f t="shared" si="29"/>
        <v>0.3</v>
      </c>
      <c r="F229" s="140">
        <f t="shared" si="29"/>
        <v>0.3</v>
      </c>
      <c r="G229" s="140">
        <f t="shared" si="29"/>
        <v>0.3</v>
      </c>
      <c r="H229" s="140">
        <f t="shared" si="29"/>
        <v>0.3</v>
      </c>
      <c r="I229" s="140">
        <f t="shared" si="29"/>
        <v>0.3</v>
      </c>
      <c r="J229" s="140">
        <f t="shared" si="29"/>
        <v>0.3</v>
      </c>
      <c r="K229" s="140">
        <f t="shared" si="29"/>
        <v>0.3</v>
      </c>
      <c r="L229" s="140">
        <f t="shared" si="29"/>
        <v>0.3</v>
      </c>
      <c r="M229" s="140">
        <f t="shared" si="29"/>
        <v>0.3</v>
      </c>
      <c r="N229" s="140">
        <f t="shared" si="29"/>
        <v>0.3</v>
      </c>
      <c r="O229" s="140">
        <f t="shared" si="29"/>
        <v>0.3</v>
      </c>
      <c r="P229" s="140">
        <f t="shared" si="29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8"/>
        <v>0</v>
      </c>
      <c r="C230" s="128">
        <v>0.4</v>
      </c>
      <c r="D230" s="128">
        <f t="shared" si="29"/>
        <v>0.4</v>
      </c>
      <c r="E230" s="128">
        <f t="shared" si="29"/>
        <v>0.4</v>
      </c>
      <c r="F230" s="128">
        <f t="shared" si="29"/>
        <v>0.4</v>
      </c>
      <c r="G230" s="128">
        <f t="shared" si="29"/>
        <v>0.4</v>
      </c>
      <c r="H230" s="128">
        <f t="shared" si="29"/>
        <v>0.4</v>
      </c>
      <c r="I230" s="128">
        <f t="shared" si="29"/>
        <v>0.4</v>
      </c>
      <c r="J230" s="128">
        <f t="shared" si="29"/>
        <v>0.4</v>
      </c>
      <c r="K230" s="128">
        <f t="shared" si="29"/>
        <v>0.4</v>
      </c>
      <c r="L230" s="128">
        <f t="shared" si="29"/>
        <v>0.4</v>
      </c>
      <c r="M230" s="128">
        <f t="shared" si="29"/>
        <v>0.4</v>
      </c>
      <c r="N230" s="128">
        <f t="shared" si="29"/>
        <v>0.4</v>
      </c>
      <c r="O230" s="128">
        <f t="shared" si="29"/>
        <v>0.4</v>
      </c>
      <c r="P230" s="128">
        <f t="shared" si="29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8"/>
        <v>0</v>
      </c>
      <c r="C231" s="128">
        <v>1.5</v>
      </c>
      <c r="D231" s="128">
        <f t="shared" si="29"/>
        <v>1.5</v>
      </c>
      <c r="E231" s="128">
        <f t="shared" si="29"/>
        <v>1.5</v>
      </c>
      <c r="F231" s="128">
        <f t="shared" si="29"/>
        <v>1.5</v>
      </c>
      <c r="G231" s="128">
        <f t="shared" si="29"/>
        <v>1.5</v>
      </c>
      <c r="H231" s="128">
        <f t="shared" si="29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9"/>
        <v>123.21900000000009</v>
      </c>
      <c r="K231" s="128">
        <f t="shared" ca="1" si="29"/>
        <v>123.21900000000009</v>
      </c>
      <c r="L231" s="128">
        <f t="shared" ca="1" si="29"/>
        <v>123.21900000000009</v>
      </c>
      <c r="M231" s="128">
        <f t="shared" ca="1" si="29"/>
        <v>119.19900000000008</v>
      </c>
      <c r="N231" s="128">
        <f t="shared" ca="1" si="29"/>
        <v>119.19900000000008</v>
      </c>
      <c r="O231" s="128">
        <f t="shared" ca="1" si="29"/>
        <v>119.19900000000008</v>
      </c>
      <c r="P231" s="128">
        <f t="shared" ca="1" si="29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8"/>
        <v>0</v>
      </c>
      <c r="C232" s="128">
        <v>0.3</v>
      </c>
      <c r="D232" s="128">
        <f t="shared" si="29"/>
        <v>0.3</v>
      </c>
      <c r="E232" s="128">
        <f t="shared" si="29"/>
        <v>0.3</v>
      </c>
      <c r="F232" s="128">
        <f t="shared" si="29"/>
        <v>0.3</v>
      </c>
      <c r="G232" s="128">
        <f t="shared" si="29"/>
        <v>0.3</v>
      </c>
      <c r="H232" s="128">
        <f t="shared" si="29"/>
        <v>0.3</v>
      </c>
      <c r="I232" s="128">
        <f t="shared" si="29"/>
        <v>0.3</v>
      </c>
      <c r="J232" s="128">
        <f t="shared" si="29"/>
        <v>0.3</v>
      </c>
      <c r="K232" s="128">
        <f t="shared" si="29"/>
        <v>0.3</v>
      </c>
      <c r="L232" s="128">
        <f t="shared" si="29"/>
        <v>0.3</v>
      </c>
      <c r="M232" s="128">
        <f t="shared" si="29"/>
        <v>0.3</v>
      </c>
      <c r="N232" s="128">
        <f t="shared" si="29"/>
        <v>0.3</v>
      </c>
      <c r="O232" s="128">
        <f t="shared" si="29"/>
        <v>0.3</v>
      </c>
      <c r="P232" s="128">
        <f t="shared" si="29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8"/>
        <v>0</v>
      </c>
      <c r="C233" s="128">
        <v>0.4</v>
      </c>
      <c r="D233" s="128">
        <f t="shared" si="29"/>
        <v>0.4</v>
      </c>
      <c r="E233" s="128">
        <f t="shared" si="29"/>
        <v>0.4</v>
      </c>
      <c r="F233" s="128">
        <f t="shared" si="29"/>
        <v>0.4</v>
      </c>
      <c r="G233" s="128">
        <f t="shared" si="29"/>
        <v>0.4</v>
      </c>
      <c r="H233" s="128">
        <f t="shared" si="29"/>
        <v>0.4</v>
      </c>
      <c r="I233" s="128">
        <f t="shared" si="29"/>
        <v>0.4</v>
      </c>
      <c r="J233" s="128">
        <f t="shared" si="29"/>
        <v>0.4</v>
      </c>
      <c r="K233" s="128">
        <f t="shared" si="29"/>
        <v>0.4</v>
      </c>
      <c r="L233" s="128">
        <f t="shared" si="29"/>
        <v>0.4</v>
      </c>
      <c r="M233" s="128">
        <f t="shared" si="29"/>
        <v>0.4</v>
      </c>
      <c r="N233" s="128">
        <f t="shared" si="29"/>
        <v>0.4</v>
      </c>
      <c r="O233" s="128">
        <f t="shared" si="29"/>
        <v>0.4</v>
      </c>
      <c r="P233" s="128">
        <f t="shared" si="29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8"/>
        <v>0</v>
      </c>
      <c r="C234" s="132">
        <v>0.64</v>
      </c>
      <c r="D234" s="132">
        <f t="shared" si="29"/>
        <v>0.64</v>
      </c>
      <c r="E234" s="132">
        <f t="shared" si="29"/>
        <v>0.64</v>
      </c>
      <c r="F234" s="132">
        <f t="shared" si="29"/>
        <v>0.64</v>
      </c>
      <c r="G234" s="132">
        <f t="shared" si="29"/>
        <v>0.64</v>
      </c>
      <c r="H234" s="132">
        <f t="shared" si="29"/>
        <v>0.64</v>
      </c>
      <c r="I234" s="132">
        <f t="shared" si="29"/>
        <v>0.64</v>
      </c>
      <c r="J234" s="132">
        <f t="shared" si="29"/>
        <v>0.64</v>
      </c>
      <c r="K234" s="132">
        <f t="shared" si="29"/>
        <v>0.64</v>
      </c>
      <c r="L234" s="132">
        <f t="shared" si="29"/>
        <v>0.64</v>
      </c>
      <c r="M234" s="132">
        <f t="shared" si="29"/>
        <v>0.64</v>
      </c>
      <c r="N234" s="132">
        <f t="shared" si="29"/>
        <v>0.64</v>
      </c>
      <c r="O234" s="132">
        <f t="shared" si="29"/>
        <v>0.64</v>
      </c>
      <c r="P234" s="132">
        <f t="shared" si="29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0">SUM(B229:B234)</f>
        <v>0</v>
      </c>
      <c r="C235" s="136">
        <f t="shared" si="30"/>
        <v>3.54</v>
      </c>
      <c r="D235" s="136">
        <f t="shared" si="30"/>
        <v>3.54</v>
      </c>
      <c r="E235" s="136">
        <f t="shared" si="30"/>
        <v>3.54</v>
      </c>
      <c r="F235" s="136">
        <f t="shared" si="30"/>
        <v>3.54</v>
      </c>
      <c r="G235" s="136">
        <f t="shared" si="30"/>
        <v>3.54</v>
      </c>
      <c r="H235" s="136">
        <f t="shared" si="30"/>
        <v>3.54</v>
      </c>
      <c r="I235" s="136">
        <f t="shared" ca="1" si="30"/>
        <v>121.23900000000009</v>
      </c>
      <c r="J235" s="136">
        <f t="shared" ca="1" si="30"/>
        <v>121.23900000000009</v>
      </c>
      <c r="K235" s="136">
        <f t="shared" ca="1" si="30"/>
        <v>121.23900000000009</v>
      </c>
      <c r="L235" s="136">
        <f t="shared" ca="1" si="30"/>
        <v>125.2590000000001</v>
      </c>
      <c r="M235" s="136">
        <f t="shared" ca="1" si="30"/>
        <v>121.23900000000009</v>
      </c>
      <c r="N235" s="136">
        <f t="shared" ca="1" si="30"/>
        <v>121.23900000000009</v>
      </c>
      <c r="O235" s="136">
        <f t="shared" ca="1" si="30"/>
        <v>121.23900000000009</v>
      </c>
      <c r="P235" s="136">
        <f t="shared" ca="1" si="30"/>
        <v>121.23900000000009</v>
      </c>
      <c r="Q235" s="136">
        <f t="shared" si="30"/>
        <v>0</v>
      </c>
      <c r="R235" s="136">
        <f t="shared" si="30"/>
        <v>0</v>
      </c>
      <c r="S235" s="136">
        <f t="shared" si="30"/>
        <v>0</v>
      </c>
      <c r="T235" s="136">
        <f t="shared" si="30"/>
        <v>0</v>
      </c>
      <c r="U235" s="136">
        <f t="shared" si="30"/>
        <v>0</v>
      </c>
      <c r="V235" s="136">
        <f t="shared" si="30"/>
        <v>0</v>
      </c>
      <c r="W235" s="136">
        <f t="shared" si="30"/>
        <v>0</v>
      </c>
      <c r="X235" s="136">
        <f t="shared" si="30"/>
        <v>0</v>
      </c>
      <c r="Y235" s="136">
        <f t="shared" si="30"/>
        <v>0</v>
      </c>
      <c r="Z235" s="136">
        <f t="shared" si="30"/>
        <v>0</v>
      </c>
      <c r="AA235" s="136">
        <f t="shared" si="30"/>
        <v>0</v>
      </c>
      <c r="AB235" s="136">
        <f t="shared" si="30"/>
        <v>0</v>
      </c>
      <c r="AC235" s="136">
        <f t="shared" si="30"/>
        <v>0</v>
      </c>
      <c r="AD235" s="136">
        <f t="shared" si="30"/>
        <v>0</v>
      </c>
      <c r="AE235" s="136">
        <f t="shared" si="30"/>
        <v>0</v>
      </c>
      <c r="AF235" s="136">
        <f t="shared" si="30"/>
        <v>0</v>
      </c>
      <c r="AG235" s="145">
        <f t="shared" si="30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2084.84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07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2080/05/7)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2080/05/7)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1">B91</f>
        <v>2000.1399999999999</v>
      </c>
      <c r="U249" s="170">
        <f t="shared" si="31"/>
        <v>2008.74</v>
      </c>
      <c r="V249" s="170">
        <f t="shared" si="31"/>
        <v>2008.74</v>
      </c>
      <c r="W249" s="170">
        <f t="shared" si="31"/>
        <v>2007.1399999999999</v>
      </c>
      <c r="X249" s="170">
        <f t="shared" si="31"/>
        <v>1996.94</v>
      </c>
      <c r="Y249" s="170">
        <f t="shared" si="31"/>
        <v>2033.44</v>
      </c>
      <c r="Z249" s="170">
        <f t="shared" si="31"/>
        <v>3.54</v>
      </c>
      <c r="AA249" s="170">
        <f t="shared" si="31"/>
        <v>3.54</v>
      </c>
      <c r="AB249" s="170">
        <f t="shared" si="31"/>
        <v>1941.54</v>
      </c>
      <c r="AC249" s="170">
        <f t="shared" si="31"/>
        <v>1996.6399999999999</v>
      </c>
      <c r="AD249" s="170">
        <f t="shared" si="31"/>
        <v>2068.7400000000002</v>
      </c>
      <c r="AE249" s="170">
        <f t="shared" si="31"/>
        <v>2084.84</v>
      </c>
      <c r="AF249" s="170">
        <f t="shared" si="31"/>
        <v>2064.2400000000002</v>
      </c>
      <c r="AG249" s="170">
        <f t="shared" si="31"/>
        <v>2065.7400000000002</v>
      </c>
      <c r="AH249" s="170">
        <f t="shared" si="31"/>
        <v>2099.3300000000004</v>
      </c>
      <c r="AI249" s="170">
        <f t="shared" si="31"/>
        <v>2097.3300000000004</v>
      </c>
      <c r="AJ249" s="170">
        <f t="shared" si="31"/>
        <v>2099.3300000000004</v>
      </c>
      <c r="AK249" s="170">
        <f t="shared" si="31"/>
        <v>2092.23</v>
      </c>
      <c r="AL249" s="170">
        <f t="shared" si="31"/>
        <v>2092.7399999999998</v>
      </c>
      <c r="AM249" s="170">
        <f t="shared" si="31"/>
        <v>2096.84</v>
      </c>
      <c r="AN249" s="170">
        <f t="shared" si="31"/>
        <v>2063.84</v>
      </c>
      <c r="AO249" s="170">
        <f t="shared" si="31"/>
        <v>2057.14</v>
      </c>
      <c r="AP249" s="170">
        <f t="shared" si="31"/>
        <v>2057.14</v>
      </c>
      <c r="AQ249" s="170">
        <f t="shared" si="31"/>
        <v>2170.5400000000004</v>
      </c>
      <c r="AR249" s="170">
        <f t="shared" si="31"/>
        <v>2156.14</v>
      </c>
      <c r="AS249" s="170">
        <f t="shared" si="31"/>
        <v>2127.44</v>
      </c>
      <c r="AT249" s="170">
        <f t="shared" si="31"/>
        <v>2139.54</v>
      </c>
      <c r="AU249" s="170">
        <f t="shared" si="31"/>
        <v>2086.2399999999998</v>
      </c>
      <c r="AV249" s="170">
        <f t="shared" si="31"/>
        <v>2071.2399999999998</v>
      </c>
      <c r="AW249" s="170">
        <f t="shared" si="31"/>
        <v>2025.0400000000002</v>
      </c>
      <c r="AX249" s="170">
        <f t="shared" si="31"/>
        <v>2007.0400000000002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2">C234</f>
        <v>0.64</v>
      </c>
      <c r="C270" s="173">
        <f t="shared" si="32"/>
        <v>0.64</v>
      </c>
      <c r="D270" s="173">
        <f t="shared" si="32"/>
        <v>0.64</v>
      </c>
      <c r="E270" s="173">
        <f t="shared" si="32"/>
        <v>0.64</v>
      </c>
      <c r="F270" s="173">
        <f t="shared" si="32"/>
        <v>0.64</v>
      </c>
      <c r="G270" s="173">
        <f t="shared" si="32"/>
        <v>0.64</v>
      </c>
      <c r="H270" s="173">
        <f t="shared" si="32"/>
        <v>0.64</v>
      </c>
      <c r="I270" s="173">
        <f t="shared" si="32"/>
        <v>0.64</v>
      </c>
      <c r="J270" s="173">
        <f t="shared" si="32"/>
        <v>0.64</v>
      </c>
      <c r="K270" s="173">
        <f t="shared" si="32"/>
        <v>0.64</v>
      </c>
      <c r="L270" s="173">
        <f t="shared" si="32"/>
        <v>0.64</v>
      </c>
      <c r="M270" s="173">
        <f t="shared" si="32"/>
        <v>0.64</v>
      </c>
      <c r="N270" s="173">
        <f t="shared" si="32"/>
        <v>0.64</v>
      </c>
      <c r="O270" s="173">
        <f t="shared" si="32"/>
        <v>0.64</v>
      </c>
      <c r="P270" s="173">
        <f t="shared" si="32"/>
        <v>0</v>
      </c>
      <c r="Q270" s="173">
        <f t="shared" si="32"/>
        <v>0</v>
      </c>
      <c r="R270" s="173">
        <f t="shared" si="32"/>
        <v>0</v>
      </c>
      <c r="S270" s="173">
        <f t="shared" si="32"/>
        <v>0</v>
      </c>
      <c r="T270" s="173">
        <f t="shared" si="32"/>
        <v>0</v>
      </c>
      <c r="U270" s="173">
        <f t="shared" si="32"/>
        <v>0</v>
      </c>
      <c r="V270" s="173">
        <f t="shared" si="32"/>
        <v>0</v>
      </c>
      <c r="W270" s="173">
        <f t="shared" si="32"/>
        <v>0</v>
      </c>
      <c r="X270" s="173">
        <f t="shared" si="32"/>
        <v>0</v>
      </c>
      <c r="Y270" s="173">
        <f t="shared" si="32"/>
        <v>0</v>
      </c>
      <c r="Z270" s="173">
        <f t="shared" si="32"/>
        <v>0</v>
      </c>
      <c r="AA270" s="173">
        <f t="shared" si="32"/>
        <v>0</v>
      </c>
      <c r="AB270" s="173">
        <f t="shared" si="32"/>
        <v>0</v>
      </c>
      <c r="AC270" s="173">
        <f t="shared" si="32"/>
        <v>0</v>
      </c>
      <c r="AD270" s="173">
        <f t="shared" si="32"/>
        <v>0</v>
      </c>
      <c r="AE270" s="173">
        <f t="shared" si="32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3">IF(B238&lt;100,"",B238-520)</f>
        <v/>
      </c>
      <c r="C271" s="174" t="str">
        <f t="shared" si="33"/>
        <v/>
      </c>
      <c r="D271" s="174" t="str">
        <f t="shared" si="33"/>
        <v/>
      </c>
      <c r="E271" s="174" t="str">
        <f t="shared" si="33"/>
        <v/>
      </c>
      <c r="F271" s="174" t="str">
        <f t="shared" si="33"/>
        <v/>
      </c>
      <c r="G271" s="174" t="str">
        <f t="shared" si="33"/>
        <v/>
      </c>
      <c r="H271" s="174" t="str">
        <f t="shared" si="33"/>
        <v/>
      </c>
      <c r="I271" s="174" t="str">
        <f t="shared" si="33"/>
        <v/>
      </c>
      <c r="J271" s="174" t="str">
        <f t="shared" si="33"/>
        <v/>
      </c>
      <c r="K271" s="174" t="str">
        <f t="shared" si="33"/>
        <v/>
      </c>
      <c r="L271" s="174" t="str">
        <f t="shared" si="33"/>
        <v/>
      </c>
      <c r="M271" s="174" t="str">
        <f t="shared" si="33"/>
        <v/>
      </c>
      <c r="N271" s="174" t="str">
        <f t="shared" si="33"/>
        <v/>
      </c>
      <c r="O271" s="174" t="str">
        <f t="shared" si="33"/>
        <v/>
      </c>
      <c r="P271" s="174" t="str">
        <f t="shared" si="33"/>
        <v/>
      </c>
      <c r="Q271" s="174" t="str">
        <f t="shared" si="33"/>
        <v/>
      </c>
      <c r="R271" s="174" t="str">
        <f t="shared" si="33"/>
        <v/>
      </c>
      <c r="S271" s="174" t="str">
        <f t="shared" si="33"/>
        <v/>
      </c>
      <c r="T271" s="174" t="str">
        <f t="shared" si="33"/>
        <v/>
      </c>
      <c r="U271" s="174" t="str">
        <f t="shared" si="33"/>
        <v/>
      </c>
      <c r="V271" s="174" t="str">
        <f t="shared" si="33"/>
        <v/>
      </c>
      <c r="W271" s="174" t="str">
        <f t="shared" si="33"/>
        <v/>
      </c>
      <c r="X271" s="174" t="str">
        <f t="shared" si="33"/>
        <v/>
      </c>
      <c r="Y271" s="174" t="str">
        <f t="shared" si="33"/>
        <v/>
      </c>
      <c r="Z271" s="174" t="str">
        <f t="shared" si="33"/>
        <v/>
      </c>
      <c r="AA271" s="174" t="str">
        <f t="shared" si="33"/>
        <v/>
      </c>
      <c r="AB271" s="174" t="str">
        <f t="shared" si="33"/>
        <v/>
      </c>
      <c r="AC271" s="174" t="str">
        <f t="shared" si="33"/>
        <v/>
      </c>
      <c r="AD271" s="174" t="str">
        <f t="shared" si="33"/>
        <v/>
      </c>
      <c r="AE271" s="174" t="str">
        <f t="shared" si="33"/>
        <v/>
      </c>
      <c r="AF271" s="174" t="str">
        <f t="shared" si="33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4">IF(B239&lt;100,"",B239-620)</f>
        <v/>
      </c>
      <c r="C272" s="174" t="str">
        <f t="shared" si="34"/>
        <v/>
      </c>
      <c r="D272" s="174" t="str">
        <f t="shared" si="34"/>
        <v/>
      </c>
      <c r="E272" s="174" t="str">
        <f t="shared" si="34"/>
        <v/>
      </c>
      <c r="F272" s="174" t="str">
        <f t="shared" si="34"/>
        <v/>
      </c>
      <c r="G272" s="174" t="str">
        <f t="shared" si="34"/>
        <v/>
      </c>
      <c r="H272" s="174" t="str">
        <f t="shared" si="34"/>
        <v/>
      </c>
      <c r="I272" s="174" t="str">
        <f t="shared" si="34"/>
        <v/>
      </c>
      <c r="J272" s="174" t="str">
        <f t="shared" si="34"/>
        <v/>
      </c>
      <c r="K272" s="174" t="str">
        <f t="shared" si="34"/>
        <v/>
      </c>
      <c r="L272" s="174" t="str">
        <f t="shared" si="34"/>
        <v/>
      </c>
      <c r="M272" s="174" t="str">
        <f t="shared" si="34"/>
        <v/>
      </c>
      <c r="N272" s="174" t="str">
        <f t="shared" si="34"/>
        <v/>
      </c>
      <c r="O272" s="174" t="str">
        <f t="shared" si="34"/>
        <v/>
      </c>
      <c r="P272" s="174" t="str">
        <f t="shared" si="34"/>
        <v/>
      </c>
      <c r="Q272" s="174" t="str">
        <f t="shared" si="34"/>
        <v/>
      </c>
      <c r="R272" s="174" t="str">
        <f t="shared" si="34"/>
        <v/>
      </c>
      <c r="S272" s="174" t="str">
        <f t="shared" si="34"/>
        <v/>
      </c>
      <c r="T272" s="174" t="str">
        <f t="shared" si="34"/>
        <v/>
      </c>
      <c r="U272" s="174" t="str">
        <f t="shared" si="34"/>
        <v/>
      </c>
      <c r="V272" s="174" t="str">
        <f t="shared" si="34"/>
        <v/>
      </c>
      <c r="W272" s="174" t="str">
        <f t="shared" si="34"/>
        <v/>
      </c>
      <c r="X272" s="174" t="str">
        <f t="shared" si="34"/>
        <v/>
      </c>
      <c r="Y272" s="174" t="str">
        <f t="shared" si="34"/>
        <v/>
      </c>
      <c r="Z272" s="174" t="str">
        <f t="shared" si="34"/>
        <v/>
      </c>
      <c r="AA272" s="174" t="str">
        <f t="shared" si="34"/>
        <v/>
      </c>
      <c r="AB272" s="174" t="str">
        <f t="shared" si="34"/>
        <v/>
      </c>
      <c r="AC272" s="174" t="str">
        <f t="shared" si="34"/>
        <v/>
      </c>
      <c r="AD272" s="174" t="str">
        <f t="shared" si="34"/>
        <v/>
      </c>
      <c r="AE272" s="174" t="str">
        <f t="shared" si="34"/>
        <v/>
      </c>
      <c r="AF272" s="174" t="str">
        <f t="shared" si="34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5">IF(B240&lt;100,"",B240-330)</f>
        <v/>
      </c>
      <c r="C273" s="174" t="str">
        <f t="shared" si="35"/>
        <v/>
      </c>
      <c r="D273" s="174" t="str">
        <f t="shared" si="35"/>
        <v/>
      </c>
      <c r="E273" s="174" t="str">
        <f t="shared" si="35"/>
        <v/>
      </c>
      <c r="F273" s="174" t="str">
        <f t="shared" si="35"/>
        <v/>
      </c>
      <c r="G273" s="174" t="str">
        <f t="shared" si="35"/>
        <v/>
      </c>
      <c r="H273" s="174" t="str">
        <f t="shared" si="35"/>
        <v/>
      </c>
      <c r="I273" s="174" t="str">
        <f t="shared" si="35"/>
        <v/>
      </c>
      <c r="J273" s="174" t="str">
        <f t="shared" si="35"/>
        <v/>
      </c>
      <c r="K273" s="174" t="str">
        <f t="shared" si="35"/>
        <v/>
      </c>
      <c r="L273" s="174" t="str">
        <f t="shared" si="35"/>
        <v/>
      </c>
      <c r="M273" s="174" t="str">
        <f t="shared" si="35"/>
        <v/>
      </c>
      <c r="N273" s="174" t="str">
        <f t="shared" si="35"/>
        <v/>
      </c>
      <c r="O273" s="174" t="str">
        <f t="shared" si="35"/>
        <v/>
      </c>
      <c r="P273" s="174" t="str">
        <f t="shared" si="35"/>
        <v/>
      </c>
      <c r="Q273" s="174" t="str">
        <f t="shared" si="35"/>
        <v/>
      </c>
      <c r="R273" s="174" t="str">
        <f t="shared" si="35"/>
        <v/>
      </c>
      <c r="S273" s="174" t="str">
        <f t="shared" si="35"/>
        <v/>
      </c>
      <c r="T273" s="174" t="str">
        <f t="shared" si="35"/>
        <v/>
      </c>
      <c r="U273" s="174" t="str">
        <f t="shared" si="35"/>
        <v/>
      </c>
      <c r="V273" s="174" t="str">
        <f t="shared" si="35"/>
        <v/>
      </c>
      <c r="W273" s="174" t="str">
        <f t="shared" si="35"/>
        <v/>
      </c>
      <c r="X273" s="174" t="str">
        <f t="shared" si="35"/>
        <v/>
      </c>
      <c r="Y273" s="174" t="str">
        <f t="shared" si="35"/>
        <v/>
      </c>
      <c r="Z273" s="174" t="str">
        <f t="shared" si="35"/>
        <v/>
      </c>
      <c r="AA273" s="174" t="str">
        <f t="shared" si="35"/>
        <v/>
      </c>
      <c r="AB273" s="174" t="str">
        <f t="shared" si="35"/>
        <v/>
      </c>
      <c r="AC273" s="174" t="str">
        <f t="shared" si="35"/>
        <v/>
      </c>
      <c r="AD273" s="174" t="str">
        <f t="shared" si="35"/>
        <v/>
      </c>
      <c r="AE273" s="174" t="str">
        <f t="shared" si="35"/>
        <v/>
      </c>
      <c r="AF273" s="174" t="str">
        <f t="shared" si="35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6">IF(B241&lt;100,"",B241-1500)</f>
        <v/>
      </c>
      <c r="C274" s="174" t="str">
        <f t="shared" si="36"/>
        <v/>
      </c>
      <c r="D274" s="174" t="str">
        <f t="shared" si="36"/>
        <v/>
      </c>
      <c r="E274" s="174" t="str">
        <f t="shared" si="36"/>
        <v/>
      </c>
      <c r="F274" s="174" t="str">
        <f t="shared" si="36"/>
        <v/>
      </c>
      <c r="G274" s="174" t="str">
        <f t="shared" si="36"/>
        <v/>
      </c>
      <c r="H274" s="174" t="str">
        <f t="shared" si="36"/>
        <v/>
      </c>
      <c r="I274" s="174" t="str">
        <f t="shared" si="36"/>
        <v/>
      </c>
      <c r="J274" s="174" t="str">
        <f t="shared" si="36"/>
        <v/>
      </c>
      <c r="K274" s="174" t="str">
        <f t="shared" si="36"/>
        <v/>
      </c>
      <c r="L274" s="174" t="str">
        <f t="shared" si="36"/>
        <v/>
      </c>
      <c r="M274" s="174" t="str">
        <f t="shared" si="36"/>
        <v/>
      </c>
      <c r="N274" s="174" t="str">
        <f t="shared" si="36"/>
        <v/>
      </c>
      <c r="O274" s="174" t="str">
        <f t="shared" si="36"/>
        <v/>
      </c>
      <c r="P274" s="174" t="str">
        <f t="shared" si="36"/>
        <v/>
      </c>
      <c r="Q274" s="174" t="str">
        <f t="shared" si="36"/>
        <v/>
      </c>
      <c r="R274" s="174" t="str">
        <f t="shared" si="36"/>
        <v/>
      </c>
      <c r="S274" s="174" t="str">
        <f t="shared" si="36"/>
        <v/>
      </c>
      <c r="T274" s="174" t="str">
        <f t="shared" si="36"/>
        <v/>
      </c>
      <c r="U274" s="174" t="str">
        <f t="shared" si="36"/>
        <v/>
      </c>
      <c r="V274" s="174" t="str">
        <f t="shared" si="36"/>
        <v/>
      </c>
      <c r="W274" s="174" t="str">
        <f t="shared" si="36"/>
        <v/>
      </c>
      <c r="X274" s="174" t="str">
        <f t="shared" si="36"/>
        <v/>
      </c>
      <c r="Y274" s="174" t="str">
        <f t="shared" si="36"/>
        <v/>
      </c>
      <c r="Z274" s="174" t="str">
        <f t="shared" si="36"/>
        <v/>
      </c>
      <c r="AA274" s="174" t="str">
        <f t="shared" si="36"/>
        <v/>
      </c>
      <c r="AB274" s="174" t="str">
        <f t="shared" si="36"/>
        <v/>
      </c>
      <c r="AC274" s="174" t="str">
        <f t="shared" si="36"/>
        <v/>
      </c>
      <c r="AD274" s="174" t="str">
        <f t="shared" si="36"/>
        <v/>
      </c>
      <c r="AE274" s="174" t="str">
        <f t="shared" si="36"/>
        <v/>
      </c>
      <c r="AF274" s="174" t="str">
        <f t="shared" si="36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100" priority="64">
      <formula>$AH11=0</formula>
    </cfRule>
  </conditionalFormatting>
  <conditionalFormatting sqref="B8 M8 S8 AB8">
    <cfRule type="expression" dxfId="3099" priority="115">
      <formula>AND(C$9&gt;=14/24,C$9&lt;20/24)</formula>
    </cfRule>
    <cfRule type="expression" dxfId="3098" priority="116">
      <formula>AND(C$9&gt;=8/24,C$9&lt;14/24)</formula>
    </cfRule>
    <cfRule type="expression" dxfId="3097" priority="117">
      <formula>C$9&lt;8/24</formula>
    </cfRule>
  </conditionalFormatting>
  <conditionalFormatting sqref="B54:C54">
    <cfRule type="expression" dxfId="3096" priority="38">
      <formula>B$9&gt;=20/24</formula>
    </cfRule>
    <cfRule type="expression" dxfId="3095" priority="39">
      <formula>AND(B$9&gt;=14/24,B$9&lt;20/24)</formula>
    </cfRule>
    <cfRule type="expression" dxfId="3094" priority="40">
      <formula>AND(B$9&gt;=8/24,B$9&lt;14/24)</formula>
    </cfRule>
    <cfRule type="expression" dxfId="3093" priority="41">
      <formula>B$9&lt;8/24</formula>
    </cfRule>
  </conditionalFormatting>
  <conditionalFormatting sqref="B54:C66 D55:E66 F60:AA66">
    <cfRule type="expression" dxfId="3092" priority="33">
      <formula>B54&gt;$AG54</formula>
    </cfRule>
  </conditionalFormatting>
  <conditionalFormatting sqref="B55:E59">
    <cfRule type="expression" dxfId="3091" priority="60">
      <formula>B$9&gt;=20/24</formula>
    </cfRule>
    <cfRule type="expression" dxfId="3090" priority="61">
      <formula>AND(B$9&gt;=14/24,B$9&lt;20/24)</formula>
    </cfRule>
    <cfRule type="expression" dxfId="3089" priority="62">
      <formula>AND(B$9&gt;=8/24,B$9&lt;14/24)</formula>
    </cfRule>
    <cfRule type="expression" dxfId="3088" priority="63">
      <formula>B$9&lt;8/24</formula>
    </cfRule>
  </conditionalFormatting>
  <conditionalFormatting sqref="B60:AA60">
    <cfRule type="expression" dxfId="3087" priority="51">
      <formula>B$9&gt;=20/24</formula>
    </cfRule>
    <cfRule type="expression" dxfId="3086" priority="52">
      <formula>AND(B$9&gt;=14/24,B$9&lt;20/24)</formula>
    </cfRule>
    <cfRule type="expression" dxfId="3085" priority="53">
      <formula>AND(B$9&gt;=8/24,B$9&lt;14/24)</formula>
    </cfRule>
    <cfRule type="expression" dxfId="3084" priority="54">
      <formula>B$9&lt;8/24</formula>
    </cfRule>
  </conditionalFormatting>
  <conditionalFormatting sqref="B61:AF66">
    <cfRule type="expression" dxfId="3083" priority="34">
      <formula>B$9&gt;=20/24</formula>
    </cfRule>
    <cfRule type="expression" dxfId="3082" priority="35">
      <formula>AND(B$9&gt;=14/24,B$9&lt;20/24)</formula>
    </cfRule>
    <cfRule type="expression" dxfId="3081" priority="36">
      <formula>AND(B$9&gt;=8/24,B$9&lt;14/24)</formula>
    </cfRule>
    <cfRule type="expression" dxfId="3080" priority="37">
      <formula>B$9&lt;8/24</formula>
    </cfRule>
  </conditionalFormatting>
  <conditionalFormatting sqref="B9:AF45">
    <cfRule type="expression" dxfId="3079" priority="23">
      <formula>B$9&gt;=20/24</formula>
    </cfRule>
    <cfRule type="expression" dxfId="3078" priority="24">
      <formula>AND(B$9&gt;=14/24,B$9&lt;20/24)</formula>
    </cfRule>
    <cfRule type="expression" dxfId="3077" priority="25">
      <formula>AND(B$9&gt;=8/24,B$9&lt;14/24)</formula>
    </cfRule>
    <cfRule type="expression" dxfId="3076" priority="26">
      <formula>B$9&lt;8/24</formula>
    </cfRule>
  </conditionalFormatting>
  <conditionalFormatting sqref="B11:AF46">
    <cfRule type="expression" dxfId="3075" priority="22">
      <formula>B11&gt;$AG11</formula>
    </cfRule>
  </conditionalFormatting>
  <conditionalFormatting sqref="B46:AF46">
    <cfRule type="expression" dxfId="3074" priority="18">
      <formula>B$9&gt;=20/24</formula>
    </cfRule>
    <cfRule type="expression" dxfId="3073" priority="19">
      <formula>AND(B$9&gt;=14/24,B$9&lt;20/24)</formula>
    </cfRule>
    <cfRule type="expression" dxfId="3072" priority="20">
      <formula>AND(B$9&gt;=8/24,B$9&lt;14/24)</formula>
    </cfRule>
    <cfRule type="expression" dxfId="3071" priority="21">
      <formula>B$9&lt;8/24</formula>
    </cfRule>
  </conditionalFormatting>
  <conditionalFormatting sqref="B47:AF47">
    <cfRule type="expression" dxfId="3070" priority="32">
      <formula>B47&gt;$AG47</formula>
    </cfRule>
  </conditionalFormatting>
  <conditionalFormatting sqref="B47:AF49">
    <cfRule type="expression" dxfId="3069" priority="28">
      <formula>B$9&gt;=20/24</formula>
    </cfRule>
    <cfRule type="expression" dxfId="3068" priority="29">
      <formula>AND(B$9&gt;=14/24,B$9&lt;20/24)</formula>
    </cfRule>
    <cfRule type="expression" dxfId="3067" priority="30">
      <formula>AND(B$9&gt;=8/24,B$9&lt;14/24)</formula>
    </cfRule>
    <cfRule type="expression" dxfId="3066" priority="31">
      <formula>B$9&lt;8/24</formula>
    </cfRule>
  </conditionalFormatting>
  <conditionalFormatting sqref="B48:AF53">
    <cfRule type="expression" dxfId="3065" priority="27">
      <formula>B48&gt;$AG48</formula>
    </cfRule>
  </conditionalFormatting>
  <conditionalFormatting sqref="B51:AF53">
    <cfRule type="expression" dxfId="3064" priority="47">
      <formula>B$9&gt;=20/24</formula>
    </cfRule>
    <cfRule type="expression" dxfId="3063" priority="48">
      <formula>AND(B$9&gt;=14/24,B$9&lt;20/24)</formula>
    </cfRule>
    <cfRule type="expression" dxfId="3062" priority="49">
      <formula>AND(B$9&gt;=8/24,B$9&lt;14/24)</formula>
    </cfRule>
    <cfRule type="expression" dxfId="3061" priority="50">
      <formula>B$9&lt;8/24</formula>
    </cfRule>
  </conditionalFormatting>
  <conditionalFormatting sqref="B69:AF71">
    <cfRule type="expression" dxfId="3060" priority="55">
      <formula>B69&gt;$AG69</formula>
    </cfRule>
    <cfRule type="expression" dxfId="3059" priority="56">
      <formula>B$9&gt;=20/24</formula>
    </cfRule>
    <cfRule type="expression" dxfId="3058" priority="57">
      <formula>AND(B$9&gt;=14/24,B$9&lt;20/24)</formula>
    </cfRule>
    <cfRule type="expression" dxfId="3057" priority="58">
      <formula>AND(B$9&gt;=8/24,B$9&lt;14/24)</formula>
    </cfRule>
    <cfRule type="expression" dxfId="3056" priority="59">
      <formula>B$9&lt;8/24</formula>
    </cfRule>
  </conditionalFormatting>
  <conditionalFormatting sqref="B73:AF91">
    <cfRule type="expression" dxfId="3055" priority="1">
      <formula>B$9&gt;=20/24</formula>
    </cfRule>
    <cfRule type="expression" dxfId="3054" priority="2">
      <formula>AND(B$9&gt;=14/24,B$9&lt;20/24)</formula>
    </cfRule>
    <cfRule type="expression" dxfId="3053" priority="3">
      <formula>AND(B$9&gt;=8/24,B$9&lt;14/24)</formula>
    </cfRule>
    <cfRule type="expression" dxfId="3052" priority="4">
      <formula>B$9&lt;8/24</formula>
    </cfRule>
  </conditionalFormatting>
  <conditionalFormatting sqref="B111:AF120">
    <cfRule type="expression" dxfId="3051" priority="14">
      <formula>B$9&gt;=20/24</formula>
    </cfRule>
    <cfRule type="expression" dxfId="3050" priority="15">
      <formula>AND(B$9&gt;=14/24,B$9&lt;20/24)</formula>
    </cfRule>
    <cfRule type="expression" dxfId="3049" priority="16">
      <formula>AND(B$9&gt;=8/24,B$9&lt;14/24)</formula>
    </cfRule>
    <cfRule type="expression" dxfId="3048" priority="17">
      <formula>B$9&lt;8/24</formula>
    </cfRule>
  </conditionalFormatting>
  <conditionalFormatting sqref="B227:AF227 D229:AF230 B229:B235 D231:H231 J231:AF231 D232:AF235 U248:AF248">
    <cfRule type="expression" dxfId="3047" priority="108">
      <formula>B$9&gt;=20/24</formula>
    </cfRule>
    <cfRule type="expression" dxfId="3046" priority="109">
      <formula>AND(B$9&gt;=14/24,B$9&lt;20/24)</formula>
    </cfRule>
    <cfRule type="expression" dxfId="3045" priority="110">
      <formula>AND(B$9&gt;=8/24,B$9&lt;14/24)</formula>
    </cfRule>
    <cfRule type="expression" dxfId="3044" priority="111">
      <formula>B$9&lt;8/24</formula>
    </cfRule>
  </conditionalFormatting>
  <conditionalFormatting sqref="B67:AG68 B72:AG72">
    <cfRule type="expression" dxfId="3043" priority="42">
      <formula>B67&gt;$AG67</formula>
    </cfRule>
  </conditionalFormatting>
  <conditionalFormatting sqref="B72:AG72 B93:AF109">
    <cfRule type="expression" dxfId="3042" priority="43">
      <formula>B$9&gt;=20/24</formula>
    </cfRule>
    <cfRule type="expression" dxfId="3041" priority="44">
      <formula>AND(B$9&gt;=14/24,B$9&lt;20/24)</formula>
    </cfRule>
    <cfRule type="expression" dxfId="3040" priority="45">
      <formula>AND(B$9&gt;=8/24,B$9&lt;14/24)</formula>
    </cfRule>
    <cfRule type="expression" dxfId="3039" priority="46">
      <formula>B$9&lt;8/24</formula>
    </cfRule>
  </conditionalFormatting>
  <conditionalFormatting sqref="F55:AA59 AB55:AF66">
    <cfRule type="expression" dxfId="3038" priority="5">
      <formula>F55&gt;$AG55</formula>
    </cfRule>
  </conditionalFormatting>
  <conditionalFormatting sqref="D54:AG54">
    <cfRule type="expression" dxfId="3037" priority="76">
      <formula>D54&gt;$AG54</formula>
    </cfRule>
    <cfRule type="expression" dxfId="3036" priority="77">
      <formula>D$9&gt;=20/24</formula>
    </cfRule>
    <cfRule type="expression" dxfId="3035" priority="78">
      <formula>AND(D$9&gt;=14/24,D$9&lt;20/24)</formula>
    </cfRule>
    <cfRule type="expression" dxfId="3034" priority="79">
      <formula>AND(D$9&gt;=8/24,D$9&lt;14/24)</formula>
    </cfRule>
    <cfRule type="expression" dxfId="3033" priority="80">
      <formula>D$9&lt;8/24</formula>
    </cfRule>
  </conditionalFormatting>
  <conditionalFormatting sqref="F55:AA57">
    <cfRule type="expression" dxfId="3032" priority="89">
      <formula>F$9&gt;=20/24</formula>
    </cfRule>
    <cfRule type="expression" dxfId="3031" priority="90">
      <formula>AND(F$9&gt;=14/24,F$9&lt;20/24)</formula>
    </cfRule>
    <cfRule type="expression" dxfId="3030" priority="91">
      <formula>AND(F$9&gt;=8/24,F$9&lt;14/24)</formula>
    </cfRule>
    <cfRule type="expression" dxfId="3029" priority="92">
      <formula>F$9&lt;8/24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028" priority="114">
      <formula>C$9&gt;=20/24</formula>
    </cfRule>
  </conditionalFormatting>
  <conditionalFormatting sqref="S8">
    <cfRule type="expression" dxfId="3027" priority="101">
      <formula>U$9&gt;=20/24</formula>
    </cfRule>
    <cfRule type="expression" dxfId="3026" priority="102">
      <formula>AND(U$9&gt;=14/24,U$9&lt;20/24)</formula>
    </cfRule>
    <cfRule type="expression" dxfId="3025" priority="103">
      <formula>AND(U$9&gt;=8/24,U$9&lt;14/24)</formula>
    </cfRule>
    <cfRule type="expression" dxfId="3024" priority="104">
      <formula>U$9&lt;8/24</formula>
    </cfRule>
  </conditionalFormatting>
  <conditionalFormatting sqref="AB55:AF60">
    <cfRule type="expression" dxfId="3023" priority="10">
      <formula>AB$9&gt;=20/24</formula>
    </cfRule>
    <cfRule type="expression" dxfId="3022" priority="11">
      <formula>AND(AB$9&gt;=14/24,AB$9&lt;20/24)</formula>
    </cfRule>
    <cfRule type="expression" dxfId="3021" priority="12">
      <formula>AND(AB$9&gt;=8/24,AB$9&lt;14/24)</formula>
    </cfRule>
    <cfRule type="expression" dxfId="3020" priority="13">
      <formula>AB$9&lt;8/24</formula>
    </cfRule>
  </conditionalFormatting>
  <conditionalFormatting sqref="T248">
    <cfRule type="expression" dxfId="3019" priority="126">
      <formula>AX$9&gt;=20/24</formula>
    </cfRule>
    <cfRule type="expression" dxfId="3018" priority="127">
      <formula>AND(AX$9&gt;=14/24,AX$9&lt;20/24)</formula>
    </cfRule>
    <cfRule type="expression" dxfId="3017" priority="128">
      <formula>AND(AX$9&gt;=8/24,AX$9&lt;14/24)</formula>
    </cfRule>
    <cfRule type="expression" dxfId="3016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015" priority="97">
      <formula>AD$9&gt;=20/24</formula>
    </cfRule>
    <cfRule type="expression" dxfId="3014" priority="98">
      <formula>AND(AD$9&gt;=14/24,AD$9&lt;20/24)</formula>
    </cfRule>
    <cfRule type="expression" dxfId="3013" priority="99">
      <formula>AND(AD$9&gt;=8/24,AD$9&lt;14/24)</formula>
    </cfRule>
    <cfRule type="expression" dxfId="3012" priority="100">
      <formula>AD$9&lt;8/24</formula>
    </cfRule>
  </conditionalFormatting>
  <conditionalFormatting sqref="AE61:AF66">
    <cfRule type="expression" dxfId="3011" priority="6">
      <formula>AE$9&gt;=20/24</formula>
    </cfRule>
    <cfRule type="expression" dxfId="3010" priority="7">
      <formula>AND(AE$9&gt;=14/24,AE$9&lt;20/24)</formula>
    </cfRule>
    <cfRule type="expression" dxfId="3009" priority="8">
      <formula>AND(AE$9&gt;=8/24,AE$9&lt;14/24)</formula>
    </cfRule>
    <cfRule type="expression" dxfId="3008" priority="9">
      <formula>AE$9&lt;8/24</formula>
    </cfRule>
  </conditionalFormatting>
  <conditionalFormatting sqref="AG50">
    <cfRule type="expression" dxfId="3007" priority="84">
      <formula>AG50&gt;$AG50</formula>
    </cfRule>
  </conditionalFormatting>
  <conditionalFormatting sqref="AG89">
    <cfRule type="expression" dxfId="3006" priority="85">
      <formula>AG$9&gt;=20/24</formula>
    </cfRule>
    <cfRule type="expression" dxfId="3005" priority="86">
      <formula>AND(AG$9&gt;=14/24,AG$9&lt;20/24)</formula>
    </cfRule>
    <cfRule type="expression" dxfId="3004" priority="87">
      <formula>AND(AG$9&gt;=8/24,AG$9&lt;14/24)</formula>
    </cfRule>
    <cfRule type="expression" dxfId="3003" priority="88">
      <formula>AG$9&lt;8/24</formula>
    </cfRule>
  </conditionalFormatting>
  <conditionalFormatting sqref="AG248">
    <cfRule type="expression" dxfId="3002" priority="118">
      <formula>B$9&gt;=20/24</formula>
    </cfRule>
    <cfRule type="expression" dxfId="3001" priority="119">
      <formula>AND(B$9&gt;=14/24,B$9&lt;20/24)</formula>
    </cfRule>
    <cfRule type="expression" dxfId="3000" priority="120">
      <formula>AND(B$9&gt;=8/24,B$9&lt;14/24)</formula>
    </cfRule>
    <cfRule type="expression" dxfId="2999" priority="121">
      <formula>B$9&lt;8/24</formula>
    </cfRule>
  </conditionalFormatting>
  <conditionalFormatting sqref="AH248:AX248">
    <cfRule type="expression" dxfId="2998" priority="122">
      <formula>AG$9&gt;=20/24</formula>
    </cfRule>
    <cfRule type="expression" dxfId="2997" priority="123">
      <formula>AND(AG$9&gt;=14/24,AG$9&lt;20/24)</formula>
    </cfRule>
    <cfRule type="expression" dxfId="2996" priority="124">
      <formula>AND(AG$9&gt;=8/24,AG$9&lt;14/24)</formula>
    </cfRule>
    <cfRule type="expression" dxfId="2995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994" priority="131">
      <formula>AJ$9&gt;=20/24</formula>
    </cfRule>
    <cfRule type="expression" dxfId="2993" priority="132">
      <formula>AND(AJ$9&gt;=14/24,AJ$9&lt;20/24)</formula>
    </cfRule>
    <cfRule type="expression" dxfId="2992" priority="133">
      <formula>AND(AJ$9&gt;=8/24,AJ$9&lt;14/24)</formula>
    </cfRule>
    <cfRule type="expression" dxfId="2991" priority="134">
      <formula>AJ$9&lt;8/24</formula>
    </cfRule>
  </conditionalFormatting>
  <conditionalFormatting sqref="AL80:AN80 AL86:AN86">
    <cfRule type="expression" dxfId="2990" priority="72">
      <formula>AL$9&gt;=20/24</formula>
    </cfRule>
    <cfRule type="expression" dxfId="2989" priority="73">
      <formula>AND(AL$9&gt;=14/24,AL$9&lt;20/24)</formula>
    </cfRule>
    <cfRule type="expression" dxfId="2988" priority="74">
      <formula>AND(AL$9&gt;=8/24,AL$9&lt;14/24)</formula>
    </cfRule>
    <cfRule type="expression" dxfId="2987" priority="75">
      <formula>AL$9&lt;8/24</formula>
    </cfRule>
  </conditionalFormatting>
  <conditionalFormatting sqref="AN81:AN84">
    <cfRule type="expression" dxfId="2986" priority="68">
      <formula>AN$9&gt;=20/24</formula>
    </cfRule>
    <cfRule type="expression" dxfId="2985" priority="69">
      <formula>AND(AN$9&gt;=14/24,AN$9&lt;20/24)</formula>
    </cfRule>
    <cfRule type="expression" dxfId="2984" priority="70">
      <formula>AND(AN$9&gt;=8/24,AN$9&lt;14/24)</formula>
    </cfRule>
    <cfRule type="expression" dxfId="2983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1EF25-F5F3-43F4-A4BE-18DA854FE584}">
  <sheetPr codeName="Sheet30"/>
  <dimension ref="A1:CJ281"/>
  <sheetViews>
    <sheetView workbookViewId="0">
      <pane xSplit="1" ySplit="10" topLeftCell="G6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D80" sqref="AD8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2080/05/8</v>
      </c>
      <c r="C4" s="201"/>
      <c r="D4" s="201"/>
      <c r="E4" s="202" t="str">
        <f ca="1">"2080/"&amp;"05/"&amp;INT(MID(CELL("filename",G6),FIND("]",CELL("filename",G6))+1,200))</f>
        <v>2080/05/8</v>
      </c>
      <c r="F4" s="202"/>
      <c r="G4" s="202"/>
      <c r="H4" s="202" t="str">
        <f ca="1">TEXT(E4,"dddd")</f>
        <v>Wednesday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2131MW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Load=2016</v>
      </c>
      <c r="B7" s="35">
        <f t="shared" ref="B7:AF7" si="1">B91</f>
        <v>2048.94</v>
      </c>
      <c r="C7" s="35">
        <f t="shared" si="1"/>
        <v>2034.6399999999999</v>
      </c>
      <c r="D7" s="35">
        <f t="shared" si="1"/>
        <v>2044.54</v>
      </c>
      <c r="E7" s="35">
        <f t="shared" si="1"/>
        <v>2026.54</v>
      </c>
      <c r="F7" s="35">
        <f t="shared" si="1"/>
        <v>2016.1399999999999</v>
      </c>
      <c r="G7" s="35">
        <f t="shared" si="1"/>
        <v>2026.34</v>
      </c>
      <c r="H7" s="35">
        <f t="shared" si="1"/>
        <v>2038.44</v>
      </c>
      <c r="I7" s="35">
        <f t="shared" si="1"/>
        <v>2042.44</v>
      </c>
      <c r="J7" s="35">
        <f t="shared" si="1"/>
        <v>2067.54</v>
      </c>
      <c r="K7" s="35">
        <f t="shared" si="1"/>
        <v>2116.04</v>
      </c>
      <c r="L7" s="35">
        <f t="shared" si="1"/>
        <v>2121.84</v>
      </c>
      <c r="M7" s="35">
        <f t="shared" si="1"/>
        <v>2115.3399999999997</v>
      </c>
      <c r="N7" s="35">
        <f>N91</f>
        <v>2130.54</v>
      </c>
      <c r="O7" s="35">
        <f t="shared" si="1"/>
        <v>2126.34</v>
      </c>
      <c r="P7" s="35">
        <f t="shared" si="1"/>
        <v>2129.04</v>
      </c>
      <c r="Q7" s="35">
        <f t="shared" si="1"/>
        <v>2120.44</v>
      </c>
      <c r="R7" s="35">
        <f t="shared" si="1"/>
        <v>2101.34</v>
      </c>
      <c r="S7" s="35">
        <f t="shared" si="1"/>
        <v>2101.34</v>
      </c>
      <c r="T7" s="35">
        <f t="shared" si="1"/>
        <v>2094.84</v>
      </c>
      <c r="U7" s="35">
        <f t="shared" si="1"/>
        <v>2094.04</v>
      </c>
      <c r="V7" s="35">
        <f t="shared" si="1"/>
        <v>2100.64</v>
      </c>
      <c r="W7" s="35">
        <f t="shared" si="1"/>
        <v>2077.1400000000003</v>
      </c>
      <c r="X7" s="35">
        <f t="shared" si="1"/>
        <v>2119.94</v>
      </c>
      <c r="Y7" s="35">
        <f t="shared" si="1"/>
        <v>2191.54</v>
      </c>
      <c r="Z7" s="35">
        <f t="shared" si="1"/>
        <v>2196.54</v>
      </c>
      <c r="AA7" s="35">
        <f t="shared" si="1"/>
        <v>2151.54</v>
      </c>
      <c r="AB7" s="35">
        <f>AB91</f>
        <v>2146.4399999999996</v>
      </c>
      <c r="AC7" s="35">
        <f t="shared" si="1"/>
        <v>2141.4399999999996</v>
      </c>
      <c r="AD7" s="35">
        <f t="shared" si="1"/>
        <v>2092.4399999999996</v>
      </c>
      <c r="AE7" s="35">
        <f t="shared" si="1"/>
        <v>2071.44</v>
      </c>
      <c r="AF7" s="35">
        <f t="shared" si="1"/>
        <v>2066.44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86.3</v>
      </c>
      <c r="C11" s="45">
        <v>89.9</v>
      </c>
      <c r="D11" s="45">
        <v>89.9</v>
      </c>
      <c r="E11" s="45">
        <v>89.9</v>
      </c>
      <c r="F11" s="45">
        <v>89.9</v>
      </c>
      <c r="G11" s="45">
        <v>89.9</v>
      </c>
      <c r="H11" s="45">
        <v>89.9</v>
      </c>
      <c r="I11" s="45">
        <v>89.9</v>
      </c>
      <c r="J11" s="45">
        <v>89.9</v>
      </c>
      <c r="K11" s="45">
        <v>89.9</v>
      </c>
      <c r="L11" s="45">
        <v>90.1</v>
      </c>
      <c r="M11" s="45">
        <v>90.1</v>
      </c>
      <c r="N11" s="45">
        <v>90.1</v>
      </c>
      <c r="O11" s="45">
        <v>89.9</v>
      </c>
      <c r="P11" s="45">
        <v>89.9</v>
      </c>
      <c r="Q11" s="45">
        <v>90.4</v>
      </c>
      <c r="R11" s="45">
        <v>90.4</v>
      </c>
      <c r="S11" s="45">
        <v>90.4</v>
      </c>
      <c r="T11" s="45">
        <v>90.4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>
        <v>90.4</v>
      </c>
      <c r="AB11" s="45">
        <v>90.2</v>
      </c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86.3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9</v>
      </c>
      <c r="E12" s="45">
        <v>9</v>
      </c>
      <c r="F12" s="45">
        <v>9</v>
      </c>
      <c r="G12" s="45">
        <v>9</v>
      </c>
      <c r="H12" s="45">
        <v>9</v>
      </c>
      <c r="I12" s="45">
        <v>9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54.4</v>
      </c>
      <c r="D13" s="45">
        <v>54.4</v>
      </c>
      <c r="E13" s="45">
        <v>54.4</v>
      </c>
      <c r="F13" s="45">
        <v>54.4</v>
      </c>
      <c r="G13" s="45">
        <v>54.4</v>
      </c>
      <c r="H13" s="45">
        <v>54.4</v>
      </c>
      <c r="I13" s="45">
        <v>54.4</v>
      </c>
      <c r="J13" s="45">
        <v>54.4</v>
      </c>
      <c r="K13" s="45">
        <v>54.4</v>
      </c>
      <c r="L13" s="45">
        <v>54.4</v>
      </c>
      <c r="M13" s="45">
        <v>54.3</v>
      </c>
      <c r="N13" s="45">
        <v>54.3</v>
      </c>
      <c r="O13" s="45">
        <v>54.2</v>
      </c>
      <c r="P13" s="45">
        <v>54.2</v>
      </c>
      <c r="Q13" s="45">
        <v>54.2</v>
      </c>
      <c r="R13" s="45">
        <v>54.2</v>
      </c>
      <c r="S13" s="45">
        <v>54.2</v>
      </c>
      <c r="T13" s="45">
        <v>54.2</v>
      </c>
      <c r="U13" s="45">
        <v>54.2</v>
      </c>
      <c r="V13" s="45">
        <v>54.2</v>
      </c>
      <c r="W13" s="45">
        <v>54.2</v>
      </c>
      <c r="X13" s="45">
        <v>54.2</v>
      </c>
      <c r="Y13" s="45">
        <v>54.2</v>
      </c>
      <c r="Z13" s="45">
        <v>54.2</v>
      </c>
      <c r="AA13" s="45">
        <v>54.2</v>
      </c>
      <c r="AB13" s="45">
        <v>54.2</v>
      </c>
      <c r="AC13" s="45">
        <v>54.2</v>
      </c>
      <c r="AD13" s="45">
        <v>54.2</v>
      </c>
      <c r="AE13" s="45">
        <v>54.2</v>
      </c>
      <c r="AF13" s="45">
        <v>54.2</v>
      </c>
      <c r="AG13" s="46">
        <v>52.4</v>
      </c>
      <c r="AH13" s="47">
        <f t="shared" si="2"/>
        <v>54.4</v>
      </c>
      <c r="AI13" s="48">
        <f t="shared" si="3"/>
        <v>54.2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50.2</v>
      </c>
      <c r="N14" s="58">
        <v>50.2</v>
      </c>
      <c r="O14" s="58">
        <v>50.2</v>
      </c>
      <c r="P14" s="58">
        <v>50.2</v>
      </c>
      <c r="Q14" s="58">
        <v>50.2</v>
      </c>
      <c r="R14" s="58">
        <v>50.2</v>
      </c>
      <c r="S14" s="58">
        <v>50.2</v>
      </c>
      <c r="T14" s="58">
        <v>50.2</v>
      </c>
      <c r="U14" s="58">
        <v>50.2</v>
      </c>
      <c r="V14" s="58">
        <v>50.2</v>
      </c>
      <c r="W14" s="58">
        <v>50.2</v>
      </c>
      <c r="X14" s="58">
        <v>50.2</v>
      </c>
      <c r="Y14" s="58">
        <v>50.2</v>
      </c>
      <c r="Z14" s="58">
        <v>50.2</v>
      </c>
      <c r="AA14" s="58">
        <v>50.2</v>
      </c>
      <c r="AB14" s="58">
        <v>50.2</v>
      </c>
      <c r="AC14" s="58">
        <v>50.2</v>
      </c>
      <c r="AD14" s="58">
        <v>50.2</v>
      </c>
      <c r="AE14" s="58">
        <v>50.2</v>
      </c>
      <c r="AF14" s="58">
        <v>50.2</v>
      </c>
      <c r="AG14" s="49">
        <v>50</v>
      </c>
      <c r="AH14" s="47">
        <f t="shared" si="2"/>
        <v>50.4</v>
      </c>
      <c r="AI14" s="48">
        <f t="shared" si="3"/>
        <v>50.2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46.3</v>
      </c>
      <c r="C15" s="45">
        <v>46.3</v>
      </c>
      <c r="D15" s="45">
        <v>46.3</v>
      </c>
      <c r="E15" s="45">
        <v>46.3</v>
      </c>
      <c r="F15" s="45">
        <v>46.3</v>
      </c>
      <c r="G15" s="45">
        <v>46.3</v>
      </c>
      <c r="H15" s="45">
        <v>46.3</v>
      </c>
      <c r="I15" s="45">
        <v>46.3</v>
      </c>
      <c r="J15" s="45">
        <v>46.3</v>
      </c>
      <c r="K15" s="45">
        <v>46.3</v>
      </c>
      <c r="L15" s="45">
        <v>46.3</v>
      </c>
      <c r="M15" s="45">
        <v>46</v>
      </c>
      <c r="N15" s="45">
        <v>46</v>
      </c>
      <c r="O15" s="45">
        <v>46</v>
      </c>
      <c r="P15" s="45">
        <v>46</v>
      </c>
      <c r="Q15" s="45">
        <v>46</v>
      </c>
      <c r="R15" s="45">
        <v>46</v>
      </c>
      <c r="S15" s="45">
        <v>46</v>
      </c>
      <c r="T15" s="45">
        <v>46</v>
      </c>
      <c r="U15" s="45">
        <v>46</v>
      </c>
      <c r="V15" s="45">
        <v>46</v>
      </c>
      <c r="W15" s="45">
        <v>46</v>
      </c>
      <c r="X15" s="45">
        <v>46</v>
      </c>
      <c r="Y15" s="45">
        <v>46</v>
      </c>
      <c r="Z15" s="45">
        <v>46</v>
      </c>
      <c r="AA15" s="45">
        <v>46</v>
      </c>
      <c r="AB15" s="45">
        <v>46</v>
      </c>
      <c r="AC15" s="45">
        <v>46</v>
      </c>
      <c r="AD15" s="45">
        <v>46</v>
      </c>
      <c r="AE15" s="45">
        <v>46</v>
      </c>
      <c r="AF15" s="45">
        <v>46</v>
      </c>
      <c r="AG15" s="49">
        <v>45</v>
      </c>
      <c r="AH15" s="47">
        <f t="shared" si="2"/>
        <v>46.3</v>
      </c>
      <c r="AI15" s="48">
        <f t="shared" si="3"/>
        <v>46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33</v>
      </c>
      <c r="M17" s="45">
        <v>33</v>
      </c>
      <c r="N17" s="45">
        <v>33</v>
      </c>
      <c r="O17" s="45">
        <v>33</v>
      </c>
      <c r="P17" s="45">
        <v>33</v>
      </c>
      <c r="Q17" s="45">
        <v>33</v>
      </c>
      <c r="R17" s="45">
        <v>33</v>
      </c>
      <c r="S17" s="45">
        <v>33</v>
      </c>
      <c r="T17" s="45">
        <v>29.5</v>
      </c>
      <c r="U17" s="45">
        <v>29.5</v>
      </c>
      <c r="V17" s="45">
        <v>29</v>
      </c>
      <c r="W17" s="45">
        <v>29</v>
      </c>
      <c r="X17" s="45">
        <v>29</v>
      </c>
      <c r="Y17" s="45">
        <v>33</v>
      </c>
      <c r="Z17" s="45">
        <v>33</v>
      </c>
      <c r="AA17" s="45">
        <v>33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33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37</v>
      </c>
      <c r="C18" s="45">
        <v>37</v>
      </c>
      <c r="D18" s="45">
        <v>37</v>
      </c>
      <c r="E18" s="45">
        <v>37</v>
      </c>
      <c r="F18" s="45">
        <v>37</v>
      </c>
      <c r="G18" s="45">
        <v>37</v>
      </c>
      <c r="H18" s="45">
        <v>37</v>
      </c>
      <c r="I18" s="45">
        <v>37</v>
      </c>
      <c r="J18" s="45">
        <v>37</v>
      </c>
      <c r="K18" s="45">
        <v>37</v>
      </c>
      <c r="L18" s="45">
        <v>37</v>
      </c>
      <c r="M18" s="45">
        <v>37</v>
      </c>
      <c r="N18" s="45">
        <v>37</v>
      </c>
      <c r="O18" s="45">
        <v>37</v>
      </c>
      <c r="P18" s="45">
        <v>37</v>
      </c>
      <c r="Q18" s="45">
        <v>37</v>
      </c>
      <c r="R18" s="45">
        <v>37</v>
      </c>
      <c r="S18" s="45">
        <v>37</v>
      </c>
      <c r="T18" s="45">
        <v>37</v>
      </c>
      <c r="U18" s="45">
        <v>37</v>
      </c>
      <c r="V18" s="45">
        <v>37</v>
      </c>
      <c r="W18" s="45">
        <v>37</v>
      </c>
      <c r="X18" s="45">
        <v>37</v>
      </c>
      <c r="Y18" s="45">
        <v>37</v>
      </c>
      <c r="Z18" s="45">
        <v>37</v>
      </c>
      <c r="AA18" s="45">
        <v>37</v>
      </c>
      <c r="AB18" s="45">
        <v>37</v>
      </c>
      <c r="AC18" s="45">
        <v>37</v>
      </c>
      <c r="AD18" s="45">
        <v>37</v>
      </c>
      <c r="AE18" s="45">
        <v>37</v>
      </c>
      <c r="AF18" s="45">
        <v>37</v>
      </c>
      <c r="AG18" s="49">
        <v>38.46</v>
      </c>
      <c r="AH18" s="47">
        <f t="shared" si="2"/>
        <v>37</v>
      </c>
      <c r="AI18" s="48">
        <f t="shared" si="3"/>
        <v>37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15.4</v>
      </c>
      <c r="C20" s="45">
        <v>10.9</v>
      </c>
      <c r="D20" s="45">
        <v>10.9</v>
      </c>
      <c r="E20" s="45">
        <v>10.9</v>
      </c>
      <c r="F20" s="45">
        <v>10.9</v>
      </c>
      <c r="G20" s="45">
        <v>10.9</v>
      </c>
      <c r="H20" s="45">
        <v>10.9</v>
      </c>
      <c r="I20" s="45">
        <v>10.9</v>
      </c>
      <c r="J20" s="45">
        <v>20</v>
      </c>
      <c r="K20" s="45">
        <v>30</v>
      </c>
      <c r="L20" s="45">
        <v>30</v>
      </c>
      <c r="M20" s="45">
        <v>30</v>
      </c>
      <c r="N20" s="45">
        <v>29.6</v>
      </c>
      <c r="O20" s="45">
        <v>29.6</v>
      </c>
      <c r="P20" s="45">
        <v>29.6</v>
      </c>
      <c r="Q20" s="45">
        <v>29.6</v>
      </c>
      <c r="R20" s="45">
        <v>22.4</v>
      </c>
      <c r="S20" s="45">
        <v>22.4</v>
      </c>
      <c r="T20" s="45">
        <v>22.4</v>
      </c>
      <c r="U20" s="45">
        <v>22.4</v>
      </c>
      <c r="V20" s="45">
        <v>25</v>
      </c>
      <c r="W20" s="45">
        <v>15</v>
      </c>
      <c r="X20" s="45">
        <v>30</v>
      </c>
      <c r="Y20" s="45">
        <v>30</v>
      </c>
      <c r="Z20" s="45">
        <v>30</v>
      </c>
      <c r="AA20" s="45">
        <v>30</v>
      </c>
      <c r="AB20" s="45">
        <v>30</v>
      </c>
      <c r="AC20" s="45">
        <v>25</v>
      </c>
      <c r="AD20" s="45">
        <v>10</v>
      </c>
      <c r="AE20" s="45">
        <v>5</v>
      </c>
      <c r="AF20" s="45">
        <v>5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20.399999999999999</v>
      </c>
      <c r="C21" s="45">
        <v>20.399999999999999</v>
      </c>
      <c r="D21" s="45">
        <v>20.399999999999999</v>
      </c>
      <c r="E21" s="45">
        <v>20.399999999999999</v>
      </c>
      <c r="F21" s="45">
        <v>20.399999999999999</v>
      </c>
      <c r="G21" s="45">
        <v>20.399999999999999</v>
      </c>
      <c r="H21" s="45">
        <v>20.399999999999999</v>
      </c>
      <c r="I21" s="45">
        <v>20.399999999999999</v>
      </c>
      <c r="J21" s="45">
        <v>20.399999999999999</v>
      </c>
      <c r="K21" s="45">
        <v>20.399999999999999</v>
      </c>
      <c r="L21" s="45">
        <v>20.399999999999999</v>
      </c>
      <c r="M21" s="45">
        <v>20.399999999999999</v>
      </c>
      <c r="N21" s="45">
        <v>20.8</v>
      </c>
      <c r="O21" s="45">
        <v>20.8</v>
      </c>
      <c r="P21" s="45">
        <v>20.8</v>
      </c>
      <c r="Q21" s="45">
        <v>20.8</v>
      </c>
      <c r="R21" s="45">
        <v>20.8</v>
      </c>
      <c r="S21" s="45">
        <v>20.8</v>
      </c>
      <c r="T21" s="45">
        <v>20.8</v>
      </c>
      <c r="U21" s="45">
        <v>20.8</v>
      </c>
      <c r="V21" s="45">
        <v>20.8</v>
      </c>
      <c r="W21" s="45">
        <v>20.8</v>
      </c>
      <c r="X21" s="45">
        <v>20</v>
      </c>
      <c r="Y21" s="45">
        <v>33</v>
      </c>
      <c r="Z21" s="45">
        <v>33</v>
      </c>
      <c r="AA21" s="45">
        <v>33</v>
      </c>
      <c r="AB21" s="45">
        <v>33</v>
      </c>
      <c r="AC21" s="45">
        <v>33</v>
      </c>
      <c r="AD21" s="45">
        <v>33</v>
      </c>
      <c r="AE21" s="45">
        <v>33</v>
      </c>
      <c r="AF21" s="45">
        <v>33</v>
      </c>
      <c r="AG21" s="49">
        <v>24.2</v>
      </c>
      <c r="AH21" s="47">
        <f t="shared" si="2"/>
        <v>33</v>
      </c>
      <c r="AI21" s="48">
        <f t="shared" si="3"/>
        <v>20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</v>
      </c>
      <c r="C22" s="45">
        <v>20</v>
      </c>
      <c r="D22" s="45">
        <v>20</v>
      </c>
      <c r="E22" s="45">
        <v>20</v>
      </c>
      <c r="F22" s="45">
        <v>20</v>
      </c>
      <c r="G22" s="45">
        <v>20</v>
      </c>
      <c r="H22" s="45">
        <v>20</v>
      </c>
      <c r="I22" s="45">
        <v>20</v>
      </c>
      <c r="J22" s="45">
        <v>20</v>
      </c>
      <c r="K22" s="45">
        <v>20</v>
      </c>
      <c r="L22" s="45">
        <v>20</v>
      </c>
      <c r="M22" s="45">
        <v>20</v>
      </c>
      <c r="N22" s="45">
        <v>21.3</v>
      </c>
      <c r="O22" s="45">
        <v>21.4</v>
      </c>
      <c r="P22" s="45">
        <v>21.4</v>
      </c>
      <c r="Q22" s="45">
        <v>21.4</v>
      </c>
      <c r="R22" s="45">
        <v>21.4</v>
      </c>
      <c r="S22" s="45">
        <v>21.4</v>
      </c>
      <c r="T22" s="45">
        <v>21.4</v>
      </c>
      <c r="U22" s="45">
        <v>21.4</v>
      </c>
      <c r="V22" s="45">
        <v>21.4</v>
      </c>
      <c r="W22" s="45">
        <v>21.4</v>
      </c>
      <c r="X22" s="45">
        <v>28</v>
      </c>
      <c r="Y22" s="45">
        <v>28.7</v>
      </c>
      <c r="Z22" s="45">
        <v>28.7</v>
      </c>
      <c r="AA22" s="45">
        <v>28.7</v>
      </c>
      <c r="AB22" s="45">
        <v>28.7</v>
      </c>
      <c r="AC22" s="45">
        <v>28.7</v>
      </c>
      <c r="AD22" s="45">
        <v>28.7</v>
      </c>
      <c r="AE22" s="45">
        <v>28.7</v>
      </c>
      <c r="AF22" s="45">
        <v>28.7</v>
      </c>
      <c r="AG22" s="49">
        <v>28</v>
      </c>
      <c r="AH22" s="47">
        <f t="shared" si="2"/>
        <v>28.7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8.5</v>
      </c>
      <c r="C23" s="45">
        <v>8.5</v>
      </c>
      <c r="D23" s="45">
        <v>8.5</v>
      </c>
      <c r="E23" s="45">
        <v>8.5</v>
      </c>
      <c r="F23" s="45">
        <v>8.5</v>
      </c>
      <c r="G23" s="45">
        <v>8.5</v>
      </c>
      <c r="H23" s="45">
        <v>8.5</v>
      </c>
      <c r="I23" s="45">
        <v>8.5</v>
      </c>
      <c r="J23" s="45">
        <v>14</v>
      </c>
      <c r="K23" s="45">
        <v>27</v>
      </c>
      <c r="L23" s="45">
        <v>27</v>
      </c>
      <c r="M23" s="45">
        <v>27</v>
      </c>
      <c r="N23" s="45">
        <v>27</v>
      </c>
      <c r="O23" s="45">
        <v>27</v>
      </c>
      <c r="P23" s="45">
        <v>27</v>
      </c>
      <c r="Q23" s="45">
        <v>27</v>
      </c>
      <c r="R23" s="45">
        <v>18</v>
      </c>
      <c r="S23" s="45">
        <v>18</v>
      </c>
      <c r="T23" s="45">
        <v>18</v>
      </c>
      <c r="U23" s="45">
        <v>18</v>
      </c>
      <c r="V23" s="45">
        <v>20</v>
      </c>
      <c r="W23" s="45">
        <v>20</v>
      </c>
      <c r="X23" s="45">
        <v>20</v>
      </c>
      <c r="Y23" s="45">
        <v>20</v>
      </c>
      <c r="Z23" s="45">
        <v>25</v>
      </c>
      <c r="AA23" s="45">
        <v>20</v>
      </c>
      <c r="AB23" s="45">
        <v>20</v>
      </c>
      <c r="AC23" s="45">
        <v>20</v>
      </c>
      <c r="AD23" s="45">
        <v>10</v>
      </c>
      <c r="AE23" s="45">
        <v>3</v>
      </c>
      <c r="AF23" s="45">
        <v>3</v>
      </c>
      <c r="AG23" s="51">
        <v>30</v>
      </c>
      <c r="AH23" s="47">
        <f t="shared" si="2"/>
        <v>27</v>
      </c>
      <c r="AI23" s="48">
        <f t="shared" si="3"/>
        <v>3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13.1</v>
      </c>
      <c r="C24" s="45">
        <v>13.1</v>
      </c>
      <c r="D24" s="45">
        <v>13.1</v>
      </c>
      <c r="E24" s="45">
        <v>13.1</v>
      </c>
      <c r="F24" s="45">
        <v>13.1</v>
      </c>
      <c r="G24" s="45">
        <v>13.1</v>
      </c>
      <c r="H24" s="45">
        <v>13.1</v>
      </c>
      <c r="I24" s="45">
        <v>13.1</v>
      </c>
      <c r="J24" s="45">
        <v>13.1</v>
      </c>
      <c r="K24" s="45">
        <v>13.1</v>
      </c>
      <c r="L24" s="45">
        <v>13.1</v>
      </c>
      <c r="M24" s="45">
        <v>13.1</v>
      </c>
      <c r="N24" s="45">
        <v>13.1</v>
      </c>
      <c r="O24" s="45">
        <v>13.1</v>
      </c>
      <c r="P24" s="45">
        <v>13.1</v>
      </c>
      <c r="Q24" s="45">
        <v>13.1</v>
      </c>
      <c r="R24" s="45">
        <v>13.1</v>
      </c>
      <c r="S24" s="45">
        <v>13.1</v>
      </c>
      <c r="T24" s="45">
        <v>13.1</v>
      </c>
      <c r="U24" s="45">
        <v>13.1</v>
      </c>
      <c r="V24" s="45">
        <v>13.1</v>
      </c>
      <c r="W24" s="45">
        <v>23.8</v>
      </c>
      <c r="X24" s="45">
        <v>23.8</v>
      </c>
      <c r="Y24" s="45">
        <v>20</v>
      </c>
      <c r="Z24" s="45">
        <v>20</v>
      </c>
      <c r="AA24" s="45">
        <v>20</v>
      </c>
      <c r="AB24" s="45">
        <v>20</v>
      </c>
      <c r="AC24" s="45">
        <v>20</v>
      </c>
      <c r="AD24" s="45">
        <v>20</v>
      </c>
      <c r="AE24" s="45">
        <v>20</v>
      </c>
      <c r="AF24" s="45">
        <v>20</v>
      </c>
      <c r="AG24" s="49">
        <v>25</v>
      </c>
      <c r="AH24" s="47">
        <f t="shared" si="2"/>
        <v>23.8</v>
      </c>
      <c r="AI24" s="48">
        <f t="shared" si="3"/>
        <v>13.1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8.5</v>
      </c>
      <c r="C27" s="45">
        <v>8.5</v>
      </c>
      <c r="D27" s="45">
        <v>8.5</v>
      </c>
      <c r="E27" s="45">
        <v>8.5</v>
      </c>
      <c r="F27" s="45">
        <v>8.5</v>
      </c>
      <c r="G27" s="45">
        <v>8.5</v>
      </c>
      <c r="H27" s="45">
        <v>8.5</v>
      </c>
      <c r="I27" s="45">
        <v>8.5</v>
      </c>
      <c r="J27" s="45">
        <v>13</v>
      </c>
      <c r="K27" s="45">
        <v>25</v>
      </c>
      <c r="L27" s="45">
        <v>25</v>
      </c>
      <c r="M27" s="45">
        <v>25</v>
      </c>
      <c r="N27" s="45">
        <v>25</v>
      </c>
      <c r="O27" s="45">
        <v>25</v>
      </c>
      <c r="P27" s="45">
        <v>25</v>
      </c>
      <c r="Q27" s="45">
        <v>25</v>
      </c>
      <c r="R27" s="45">
        <f>0.7*25</f>
        <v>17.5</v>
      </c>
      <c r="S27" s="45">
        <f>0.7*25</f>
        <v>17.5</v>
      </c>
      <c r="T27" s="45">
        <f>0.7*25</f>
        <v>17.5</v>
      </c>
      <c r="U27" s="45">
        <f>0.7*25</f>
        <v>17.5</v>
      </c>
      <c r="V27" s="45">
        <v>20</v>
      </c>
      <c r="W27" s="45">
        <v>13</v>
      </c>
      <c r="X27" s="45">
        <v>20</v>
      </c>
      <c r="Y27" s="45">
        <v>20</v>
      </c>
      <c r="Z27" s="45">
        <v>20</v>
      </c>
      <c r="AA27" s="45">
        <v>20</v>
      </c>
      <c r="AB27" s="45">
        <v>20</v>
      </c>
      <c r="AC27" s="45">
        <v>20</v>
      </c>
      <c r="AD27" s="45">
        <v>10</v>
      </c>
      <c r="AE27" s="45">
        <v>3</v>
      </c>
      <c r="AF27" s="45">
        <v>3</v>
      </c>
      <c r="AG27" s="49">
        <v>25</v>
      </c>
      <c r="AH27" s="47">
        <f t="shared" si="2"/>
        <v>25</v>
      </c>
      <c r="AI27" s="48">
        <f t="shared" si="3"/>
        <v>3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24.9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24.9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4</v>
      </c>
      <c r="E33" s="45">
        <v>4</v>
      </c>
      <c r="F33" s="45">
        <v>4</v>
      </c>
      <c r="G33" s="45">
        <v>4</v>
      </c>
      <c r="H33" s="45">
        <v>4</v>
      </c>
      <c r="I33" s="45">
        <v>4</v>
      </c>
      <c r="J33" s="45">
        <v>4</v>
      </c>
      <c r="K33" s="45">
        <v>10</v>
      </c>
      <c r="L33" s="45">
        <v>10</v>
      </c>
      <c r="M33" s="45">
        <v>10</v>
      </c>
      <c r="N33" s="45">
        <v>10</v>
      </c>
      <c r="O33" s="45">
        <v>10</v>
      </c>
      <c r="P33" s="45">
        <v>10</v>
      </c>
      <c r="Q33" s="45">
        <v>10</v>
      </c>
      <c r="R33" s="45">
        <v>10</v>
      </c>
      <c r="S33" s="45">
        <v>10</v>
      </c>
      <c r="T33" s="45">
        <v>5</v>
      </c>
      <c r="U33" s="45">
        <v>5</v>
      </c>
      <c r="V33" s="45">
        <v>5</v>
      </c>
      <c r="W33" s="45">
        <v>5</v>
      </c>
      <c r="X33" s="45">
        <v>10</v>
      </c>
      <c r="Y33" s="45">
        <v>10</v>
      </c>
      <c r="Z33" s="45">
        <v>10</v>
      </c>
      <c r="AA33" s="45">
        <v>10</v>
      </c>
      <c r="AB33" s="45">
        <v>7</v>
      </c>
      <c r="AC33" s="45">
        <v>7</v>
      </c>
      <c r="AD33" s="45">
        <v>7</v>
      </c>
      <c r="AE33" s="45">
        <v>5</v>
      </c>
      <c r="AF33" s="45">
        <v>0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3.5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4</v>
      </c>
      <c r="J34" s="45">
        <v>4</v>
      </c>
      <c r="K34" s="45">
        <v>8</v>
      </c>
      <c r="L34" s="45">
        <v>8</v>
      </c>
      <c r="M34" s="45">
        <v>8</v>
      </c>
      <c r="N34" s="45">
        <v>8</v>
      </c>
      <c r="O34" s="45">
        <v>8</v>
      </c>
      <c r="P34" s="45">
        <v>8</v>
      </c>
      <c r="Q34" s="45">
        <v>8</v>
      </c>
      <c r="R34" s="45">
        <v>8</v>
      </c>
      <c r="S34" s="45">
        <v>8</v>
      </c>
      <c r="T34" s="45">
        <v>5</v>
      </c>
      <c r="U34" s="45">
        <v>5</v>
      </c>
      <c r="V34" s="45">
        <v>5</v>
      </c>
      <c r="W34" s="45">
        <v>5</v>
      </c>
      <c r="X34" s="45">
        <v>5</v>
      </c>
      <c r="Y34" s="45">
        <v>5</v>
      </c>
      <c r="Z34" s="45">
        <v>5</v>
      </c>
      <c r="AA34" s="45">
        <v>5</v>
      </c>
      <c r="AB34" s="45">
        <v>5</v>
      </c>
      <c r="AC34" s="45">
        <v>5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8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14</v>
      </c>
      <c r="C35" s="45">
        <v>14</v>
      </c>
      <c r="D35" s="45">
        <v>14</v>
      </c>
      <c r="E35" s="45">
        <v>14</v>
      </c>
      <c r="F35" s="45">
        <v>14</v>
      </c>
      <c r="G35" s="45">
        <v>14</v>
      </c>
      <c r="H35" s="45">
        <v>14</v>
      </c>
      <c r="I35" s="45">
        <v>14</v>
      </c>
      <c r="J35" s="45">
        <v>14</v>
      </c>
      <c r="K35" s="45">
        <v>13</v>
      </c>
      <c r="L35" s="45">
        <v>13</v>
      </c>
      <c r="M35" s="45">
        <v>13</v>
      </c>
      <c r="N35" s="45">
        <v>13</v>
      </c>
      <c r="O35" s="45">
        <v>13</v>
      </c>
      <c r="P35" s="45">
        <v>13</v>
      </c>
      <c r="Q35" s="45">
        <v>13</v>
      </c>
      <c r="R35" s="45">
        <v>13</v>
      </c>
      <c r="S35" s="45">
        <v>13</v>
      </c>
      <c r="T35" s="45">
        <v>13</v>
      </c>
      <c r="U35" s="45">
        <v>13</v>
      </c>
      <c r="V35" s="45">
        <v>13</v>
      </c>
      <c r="W35" s="45">
        <v>13</v>
      </c>
      <c r="X35" s="45">
        <v>13</v>
      </c>
      <c r="Y35" s="45">
        <v>13</v>
      </c>
      <c r="Z35" s="45">
        <v>13</v>
      </c>
      <c r="AA35" s="45">
        <v>13</v>
      </c>
      <c r="AB35" s="45">
        <v>13</v>
      </c>
      <c r="AC35" s="45">
        <v>13</v>
      </c>
      <c r="AD35" s="45">
        <v>13</v>
      </c>
      <c r="AE35" s="45">
        <v>13</v>
      </c>
      <c r="AF35" s="45">
        <v>13</v>
      </c>
      <c r="AG35" s="49">
        <v>14.9</v>
      </c>
      <c r="AH35" s="47">
        <f t="shared" si="2"/>
        <v>14</v>
      </c>
      <c r="AI35" s="48">
        <f t="shared" si="3"/>
        <v>13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6</v>
      </c>
      <c r="D39" s="45">
        <v>6</v>
      </c>
      <c r="E39" s="45">
        <v>6</v>
      </c>
      <c r="F39" s="45">
        <v>6</v>
      </c>
      <c r="G39" s="45">
        <v>6</v>
      </c>
      <c r="H39" s="45">
        <v>6</v>
      </c>
      <c r="I39" s="45">
        <v>6</v>
      </c>
      <c r="J39" s="45">
        <v>6</v>
      </c>
      <c r="K39" s="45">
        <v>12</v>
      </c>
      <c r="L39" s="45">
        <v>12</v>
      </c>
      <c r="M39" s="45">
        <v>12</v>
      </c>
      <c r="N39" s="45">
        <v>12</v>
      </c>
      <c r="O39" s="45">
        <v>12</v>
      </c>
      <c r="P39" s="45">
        <v>12</v>
      </c>
      <c r="Q39" s="45">
        <v>12</v>
      </c>
      <c r="R39" s="45">
        <v>8.4</v>
      </c>
      <c r="S39" s="45">
        <v>8.4</v>
      </c>
      <c r="T39" s="45">
        <v>8.4</v>
      </c>
      <c r="U39" s="45">
        <v>8.4</v>
      </c>
      <c r="V39" s="45">
        <v>8.4</v>
      </c>
      <c r="W39" s="45">
        <v>6</v>
      </c>
      <c r="X39" s="45">
        <v>6</v>
      </c>
      <c r="Y39" s="45">
        <v>10</v>
      </c>
      <c r="Z39" s="45">
        <v>10</v>
      </c>
      <c r="AA39" s="45">
        <v>10</v>
      </c>
      <c r="AB39" s="45">
        <v>12</v>
      </c>
      <c r="AC39" s="45">
        <v>12</v>
      </c>
      <c r="AD39" s="45">
        <v>3</v>
      </c>
      <c r="AE39" s="45">
        <v>3</v>
      </c>
      <c r="AF39" s="45">
        <v>3</v>
      </c>
      <c r="AG39" s="49">
        <v>12</v>
      </c>
      <c r="AH39" s="47">
        <f t="shared" si="2"/>
        <v>12</v>
      </c>
      <c r="AI39" s="48">
        <f t="shared" si="3"/>
        <v>3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8</v>
      </c>
      <c r="C40" s="45">
        <v>8</v>
      </c>
      <c r="D40" s="45">
        <v>8</v>
      </c>
      <c r="E40" s="45">
        <v>8</v>
      </c>
      <c r="F40" s="45">
        <v>8</v>
      </c>
      <c r="G40" s="45">
        <v>8</v>
      </c>
      <c r="H40" s="45">
        <v>8</v>
      </c>
      <c r="I40" s="45">
        <v>8</v>
      </c>
      <c r="J40" s="45">
        <v>8</v>
      </c>
      <c r="K40" s="45">
        <v>8</v>
      </c>
      <c r="L40" s="45">
        <v>8</v>
      </c>
      <c r="M40" s="45">
        <v>8</v>
      </c>
      <c r="N40" s="45">
        <v>8</v>
      </c>
      <c r="O40" s="45">
        <v>8</v>
      </c>
      <c r="P40" s="45">
        <v>8</v>
      </c>
      <c r="Q40" s="45">
        <v>8</v>
      </c>
      <c r="R40" s="45">
        <v>8</v>
      </c>
      <c r="S40" s="45">
        <v>8</v>
      </c>
      <c r="T40" s="45">
        <v>8</v>
      </c>
      <c r="U40" s="45">
        <v>8</v>
      </c>
      <c r="V40" s="45">
        <v>8</v>
      </c>
      <c r="W40" s="45">
        <v>8</v>
      </c>
      <c r="X40" s="45">
        <v>8</v>
      </c>
      <c r="Y40" s="45">
        <v>8</v>
      </c>
      <c r="Z40" s="45">
        <v>8</v>
      </c>
      <c r="AA40" s="45">
        <v>8</v>
      </c>
      <c r="AB40" s="45">
        <v>8</v>
      </c>
      <c r="AC40" s="45">
        <v>8</v>
      </c>
      <c r="AD40" s="45">
        <v>8</v>
      </c>
      <c r="AE40" s="45">
        <v>8</v>
      </c>
      <c r="AF40" s="45">
        <v>8</v>
      </c>
      <c r="AG40" s="49">
        <v>12</v>
      </c>
      <c r="AH40" s="47">
        <f t="shared" si="2"/>
        <v>8</v>
      </c>
      <c r="AI40" s="48">
        <f t="shared" si="3"/>
        <v>8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6</v>
      </c>
      <c r="I45" s="45">
        <v>0</v>
      </c>
      <c r="J45" s="45">
        <v>0</v>
      </c>
      <c r="K45" s="45">
        <v>0</v>
      </c>
      <c r="L45" s="45">
        <v>0</v>
      </c>
      <c r="M45" s="45">
        <v>0</v>
      </c>
      <c r="N45" s="45">
        <v>0</v>
      </c>
      <c r="O45" s="45">
        <v>0</v>
      </c>
      <c r="P45" s="45">
        <v>0</v>
      </c>
      <c r="Q45" s="45">
        <v>0</v>
      </c>
      <c r="R45" s="45">
        <v>0</v>
      </c>
      <c r="S45" s="45">
        <v>0</v>
      </c>
      <c r="T45" s="45">
        <v>5</v>
      </c>
      <c r="U45" s="45">
        <v>5</v>
      </c>
      <c r="V45" s="45">
        <v>5</v>
      </c>
      <c r="W45" s="45">
        <v>5</v>
      </c>
      <c r="X45" s="45">
        <v>5</v>
      </c>
      <c r="Y45" s="45">
        <v>8.8000000000000007</v>
      </c>
      <c r="Z45" s="45">
        <v>8.8000000000000007</v>
      </c>
      <c r="AA45" s="45">
        <v>8.8000000000000007</v>
      </c>
      <c r="AB45" s="45">
        <v>8.8000000000000007</v>
      </c>
      <c r="AC45" s="45">
        <v>8.8000000000000007</v>
      </c>
      <c r="AD45" s="45">
        <v>8.8000000000000007</v>
      </c>
      <c r="AE45" s="45">
        <v>8.8000000000000007</v>
      </c>
      <c r="AF45" s="45">
        <v>8.8000000000000007</v>
      </c>
      <c r="AG45" s="54">
        <v>10</v>
      </c>
      <c r="AH45" s="47">
        <f t="shared" si="2"/>
        <v>9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124.4</v>
      </c>
      <c r="C49" s="56">
        <v>124.4</v>
      </c>
      <c r="D49" s="56">
        <v>121.7</v>
      </c>
      <c r="E49" s="56">
        <f>35.5+86.6</f>
        <v>122.1</v>
      </c>
      <c r="F49" s="56">
        <f>35.5+86.6</f>
        <v>122.1</v>
      </c>
      <c r="G49" s="56">
        <f>35.5+86.6</f>
        <v>122.1</v>
      </c>
      <c r="H49" s="58">
        <f>35.9+88.1</f>
        <v>124</v>
      </c>
      <c r="I49" s="58">
        <f>35.9+88.1</f>
        <v>124</v>
      </c>
      <c r="J49" s="58">
        <f>35.9+88.1</f>
        <v>124</v>
      </c>
      <c r="K49" s="58">
        <f>35.6+87.2</f>
        <v>122.80000000000001</v>
      </c>
      <c r="L49" s="58">
        <f>35.6+87.2</f>
        <v>122.80000000000001</v>
      </c>
      <c r="M49" s="58">
        <f>86.3+34.8</f>
        <v>121.1</v>
      </c>
      <c r="N49" s="58">
        <f>88.6+35.6</f>
        <v>124.19999999999999</v>
      </c>
      <c r="O49" s="58">
        <f>92.9+36.6</f>
        <v>129.5</v>
      </c>
      <c r="P49" s="58">
        <f>94.5+37.3</f>
        <v>131.80000000000001</v>
      </c>
      <c r="Q49" s="58">
        <f>94.2+37.6</f>
        <v>131.80000000000001</v>
      </c>
      <c r="R49" s="58">
        <f t="shared" ref="R49:X49" si="4">94.2+37.6</f>
        <v>131.80000000000001</v>
      </c>
      <c r="S49" s="58">
        <f t="shared" si="4"/>
        <v>131.80000000000001</v>
      </c>
      <c r="T49" s="58">
        <f t="shared" si="4"/>
        <v>131.80000000000001</v>
      </c>
      <c r="U49" s="58">
        <f t="shared" si="4"/>
        <v>131.80000000000001</v>
      </c>
      <c r="V49" s="58">
        <f t="shared" si="4"/>
        <v>131.80000000000001</v>
      </c>
      <c r="W49" s="58">
        <f t="shared" si="4"/>
        <v>131.80000000000001</v>
      </c>
      <c r="X49" s="58">
        <f t="shared" si="4"/>
        <v>131.80000000000001</v>
      </c>
      <c r="Y49" s="56">
        <v>131.80000000000001</v>
      </c>
      <c r="Z49" s="56">
        <v>131.80000000000001</v>
      </c>
      <c r="AA49" s="56">
        <v>131.80000000000001</v>
      </c>
      <c r="AB49" s="56">
        <v>131.80000000000001</v>
      </c>
      <c r="AC49" s="56">
        <v>131.80000000000001</v>
      </c>
      <c r="AD49" s="56">
        <v>131.80000000000001</v>
      </c>
      <c r="AE49" s="56">
        <v>131.80000000000001</v>
      </c>
      <c r="AF49" s="56">
        <v>131.80000000000001</v>
      </c>
      <c r="AG49" s="54">
        <v>240</v>
      </c>
      <c r="AH49" s="47">
        <f t="shared" si="2"/>
        <v>131.80000000000001</v>
      </c>
      <c r="AI49" s="48">
        <f t="shared" si="3"/>
        <v>121.1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1085.9000000000001</v>
      </c>
      <c r="C50" s="60">
        <f t="shared" si="5"/>
        <v>1081.5</v>
      </c>
      <c r="D50" s="60">
        <f t="shared" si="5"/>
        <v>1090.5</v>
      </c>
      <c r="E50" s="60">
        <f t="shared" si="5"/>
        <v>1090.5</v>
      </c>
      <c r="F50" s="60">
        <f t="shared" si="5"/>
        <v>1090.5</v>
      </c>
      <c r="G50" s="60">
        <f t="shared" si="5"/>
        <v>1090.5</v>
      </c>
      <c r="H50" s="60">
        <f t="shared" si="5"/>
        <v>1087.5</v>
      </c>
      <c r="I50" s="60">
        <f t="shared" si="5"/>
        <v>1085.5</v>
      </c>
      <c r="J50" s="60">
        <f t="shared" si="5"/>
        <v>1108.5999999999999</v>
      </c>
      <c r="K50" s="60">
        <f t="shared" si="5"/>
        <v>1158.5999999999999</v>
      </c>
      <c r="L50" s="60">
        <f t="shared" si="5"/>
        <v>1163.8000000000002</v>
      </c>
      <c r="M50" s="60">
        <f>SUM(M11:M48)</f>
        <v>1163.1999999999998</v>
      </c>
      <c r="N50" s="60">
        <f t="shared" si="5"/>
        <v>1164.5</v>
      </c>
      <c r="O50" s="60">
        <f t="shared" si="5"/>
        <v>1164.3000000000002</v>
      </c>
      <c r="P50" s="60">
        <f t="shared" si="5"/>
        <v>1164.3000000000002</v>
      </c>
      <c r="Q50" s="60">
        <f t="shared" si="5"/>
        <v>1164.8000000000002</v>
      </c>
      <c r="R50" s="60">
        <f t="shared" si="5"/>
        <v>1137.5</v>
      </c>
      <c r="S50" s="60">
        <f t="shared" si="5"/>
        <v>1137.5</v>
      </c>
      <c r="T50" s="60">
        <f>SUM(T11:T48)</f>
        <v>1131</v>
      </c>
      <c r="U50" s="60">
        <f>SUM(U11:U48)</f>
        <v>1131</v>
      </c>
      <c r="V50" s="60">
        <f t="shared" ref="V50:AC50" si="6">SUM(V11:V48)</f>
        <v>1137.5999999999999</v>
      </c>
      <c r="W50" s="60">
        <f t="shared" si="6"/>
        <v>1128.9000000000001</v>
      </c>
      <c r="X50" s="60">
        <f t="shared" si="6"/>
        <v>1161.7</v>
      </c>
      <c r="Y50" s="60">
        <f t="shared" si="6"/>
        <v>1183.4000000000001</v>
      </c>
      <c r="Z50" s="60">
        <f t="shared" si="6"/>
        <v>1188.4000000000001</v>
      </c>
      <c r="AA50" s="60">
        <f t="shared" si="6"/>
        <v>1183.4000000000001</v>
      </c>
      <c r="AB50" s="60">
        <f>SUM(AB11:AB48)</f>
        <v>1178.1999999999998</v>
      </c>
      <c r="AC50" s="60">
        <f t="shared" si="6"/>
        <v>1173.1999999999998</v>
      </c>
      <c r="AD50" s="60">
        <f t="shared" si="5"/>
        <v>1124.1999999999998</v>
      </c>
      <c r="AE50" s="60">
        <f t="shared" si="5"/>
        <v>1103.2</v>
      </c>
      <c r="AF50" s="60">
        <f t="shared" si="5"/>
        <v>1098.2</v>
      </c>
      <c r="AG50" s="61">
        <f>SUM(AG13:AG48)</f>
        <v>922.14</v>
      </c>
      <c r="AH50" s="47">
        <f t="shared" si="2"/>
        <v>1188.4000000000001</v>
      </c>
      <c r="AI50" s="48">
        <f t="shared" si="3"/>
        <v>1081.5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50</v>
      </c>
      <c r="C52" s="64">
        <v>50</v>
      </c>
      <c r="D52" s="64">
        <v>50</v>
      </c>
      <c r="E52" s="64">
        <v>50</v>
      </c>
      <c r="F52" s="64">
        <v>50</v>
      </c>
      <c r="G52" s="64">
        <v>50</v>
      </c>
      <c r="H52" s="64">
        <v>50</v>
      </c>
      <c r="I52" s="64">
        <v>50</v>
      </c>
      <c r="J52" s="64">
        <v>50</v>
      </c>
      <c r="K52" s="64">
        <v>50</v>
      </c>
      <c r="L52" s="64">
        <v>50</v>
      </c>
      <c r="M52" s="64">
        <v>50</v>
      </c>
      <c r="N52" s="64">
        <v>50</v>
      </c>
      <c r="O52" s="64">
        <v>50</v>
      </c>
      <c r="P52" s="64">
        <v>50</v>
      </c>
      <c r="Q52" s="64">
        <v>50</v>
      </c>
      <c r="R52" s="64">
        <v>50</v>
      </c>
      <c r="S52" s="64">
        <v>50</v>
      </c>
      <c r="T52" s="64">
        <v>50</v>
      </c>
      <c r="U52" s="64">
        <v>50</v>
      </c>
      <c r="V52" s="64">
        <v>50</v>
      </c>
      <c r="W52" s="64">
        <v>50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528</v>
      </c>
      <c r="C54" s="60">
        <f t="shared" si="7"/>
        <v>528</v>
      </c>
      <c r="D54" s="60">
        <f t="shared" si="7"/>
        <v>528</v>
      </c>
      <c r="E54" s="60">
        <f t="shared" si="7"/>
        <v>528</v>
      </c>
      <c r="F54" s="60">
        <f t="shared" si="7"/>
        <v>528</v>
      </c>
      <c r="G54" s="60">
        <f t="shared" si="7"/>
        <v>528</v>
      </c>
      <c r="H54" s="60">
        <f t="shared" si="7"/>
        <v>528</v>
      </c>
      <c r="I54" s="60">
        <f t="shared" si="7"/>
        <v>528</v>
      </c>
      <c r="J54" s="60">
        <f t="shared" si="7"/>
        <v>528</v>
      </c>
      <c r="K54" s="60">
        <f t="shared" si="7"/>
        <v>528</v>
      </c>
      <c r="L54" s="60">
        <f t="shared" si="7"/>
        <v>528</v>
      </c>
      <c r="M54" s="60">
        <f t="shared" si="7"/>
        <v>528</v>
      </c>
      <c r="N54" s="60">
        <f t="shared" si="7"/>
        <v>528</v>
      </c>
      <c r="O54" s="60">
        <f t="shared" si="7"/>
        <v>528</v>
      </c>
      <c r="P54" s="60">
        <f t="shared" si="7"/>
        <v>528</v>
      </c>
      <c r="Q54" s="60">
        <f t="shared" si="7"/>
        <v>528</v>
      </c>
      <c r="R54" s="60">
        <f t="shared" si="7"/>
        <v>528</v>
      </c>
      <c r="S54" s="60">
        <f t="shared" si="7"/>
        <v>528</v>
      </c>
      <c r="T54" s="60">
        <f t="shared" ref="T54:AB54" si="8">SUM(T51:T53)</f>
        <v>528</v>
      </c>
      <c r="U54" s="60">
        <f t="shared" si="8"/>
        <v>528</v>
      </c>
      <c r="V54" s="60">
        <f t="shared" si="8"/>
        <v>528</v>
      </c>
      <c r="W54" s="60">
        <f t="shared" si="8"/>
        <v>528</v>
      </c>
      <c r="X54" s="60">
        <f t="shared" si="8"/>
        <v>538</v>
      </c>
      <c r="Y54" s="60">
        <f t="shared" si="8"/>
        <v>538</v>
      </c>
      <c r="Z54" s="60">
        <f t="shared" si="8"/>
        <v>538</v>
      </c>
      <c r="AA54" s="60">
        <f t="shared" si="8"/>
        <v>538</v>
      </c>
      <c r="AB54" s="60">
        <f t="shared" si="8"/>
        <v>538</v>
      </c>
      <c r="AC54" s="60">
        <f t="shared" si="7"/>
        <v>538</v>
      </c>
      <c r="AD54" s="60">
        <f t="shared" si="7"/>
        <v>538</v>
      </c>
      <c r="AE54" s="60">
        <f t="shared" si="7"/>
        <v>538</v>
      </c>
      <c r="AF54" s="60">
        <f t="shared" si="7"/>
        <v>538</v>
      </c>
      <c r="AG54" s="61">
        <f t="shared" si="7"/>
        <v>538.1</v>
      </c>
      <c r="AH54" s="47">
        <f t="shared" si="2"/>
        <v>538</v>
      </c>
      <c r="AI54" s="48">
        <f t="shared" si="3"/>
        <v>528</v>
      </c>
      <c r="AK54" s="50"/>
    </row>
    <row r="55" spans="1:41" x14ac:dyDescent="0.25">
      <c r="A55" s="44" t="s">
        <v>63</v>
      </c>
      <c r="B55" s="45">
        <v>144.9</v>
      </c>
      <c r="C55" s="45">
        <v>144.9</v>
      </c>
      <c r="D55" s="45">
        <v>144.9</v>
      </c>
      <c r="E55" s="45">
        <v>144.9</v>
      </c>
      <c r="F55" s="45">
        <v>136.30000000000001</v>
      </c>
      <c r="G55" s="45">
        <v>140</v>
      </c>
      <c r="H55" s="45">
        <v>143.4</v>
      </c>
      <c r="I55" s="45">
        <v>143.4</v>
      </c>
      <c r="J55" s="45">
        <v>143.4</v>
      </c>
      <c r="K55" s="45">
        <v>143.19999999999999</v>
      </c>
      <c r="L55" s="45">
        <v>143.19999999999999</v>
      </c>
      <c r="M55" s="45">
        <v>141.30000000000001</v>
      </c>
      <c r="N55" s="45">
        <v>140.5</v>
      </c>
      <c r="O55" s="45">
        <v>139.5</v>
      </c>
      <c r="P55" s="45">
        <v>139.19999999999999</v>
      </c>
      <c r="Q55" s="45">
        <v>132.4</v>
      </c>
      <c r="R55" s="45">
        <v>139.4</v>
      </c>
      <c r="S55" s="45">
        <v>139.4</v>
      </c>
      <c r="T55" s="45">
        <v>139.4</v>
      </c>
      <c r="U55" s="45">
        <v>139.4</v>
      </c>
      <c r="V55" s="45">
        <v>139.4</v>
      </c>
      <c r="W55" s="45">
        <v>139.4</v>
      </c>
      <c r="X55" s="45">
        <v>139.4</v>
      </c>
      <c r="Y55" s="45">
        <v>139</v>
      </c>
      <c r="Z55" s="45">
        <v>139</v>
      </c>
      <c r="AA55" s="45">
        <v>139</v>
      </c>
      <c r="AB55" s="45">
        <v>139</v>
      </c>
      <c r="AC55" s="45">
        <v>139</v>
      </c>
      <c r="AD55" s="45">
        <v>139</v>
      </c>
      <c r="AE55" s="45">
        <v>139</v>
      </c>
      <c r="AF55" s="45">
        <v>139</v>
      </c>
      <c r="AG55" s="51">
        <v>144</v>
      </c>
      <c r="AH55" s="47">
        <f t="shared" si="2"/>
        <v>144.9</v>
      </c>
      <c r="AI55" s="48">
        <f t="shared" si="3"/>
        <v>132.4</v>
      </c>
      <c r="AK55" s="50"/>
    </row>
    <row r="56" spans="1:41" x14ac:dyDescent="0.25">
      <c r="A56" s="53" t="s">
        <v>64</v>
      </c>
      <c r="B56" s="64">
        <v>69.3</v>
      </c>
      <c r="C56" s="64">
        <v>69.3</v>
      </c>
      <c r="D56" s="64">
        <v>60</v>
      </c>
      <c r="E56" s="64">
        <v>60</v>
      </c>
      <c r="F56" s="64">
        <v>60</v>
      </c>
      <c r="G56" s="64">
        <v>60</v>
      </c>
      <c r="H56" s="64">
        <v>70.099999999999994</v>
      </c>
      <c r="I56" s="64">
        <v>70.099999999999994</v>
      </c>
      <c r="J56" s="64">
        <v>70.099999999999994</v>
      </c>
      <c r="K56" s="64">
        <v>70.099999999999994</v>
      </c>
      <c r="L56" s="64">
        <v>70.099999999999994</v>
      </c>
      <c r="M56" s="64">
        <v>69.900000000000006</v>
      </c>
      <c r="N56" s="64">
        <v>69.099999999999994</v>
      </c>
      <c r="O56" s="64">
        <v>69.099999999999994</v>
      </c>
      <c r="P56" s="64">
        <v>68.5</v>
      </c>
      <c r="Q56" s="64">
        <v>69.599999999999994</v>
      </c>
      <c r="R56" s="64">
        <v>70.8</v>
      </c>
      <c r="S56" s="64">
        <v>70.8</v>
      </c>
      <c r="T56" s="64">
        <v>70.8</v>
      </c>
      <c r="U56" s="64">
        <v>70</v>
      </c>
      <c r="V56" s="64">
        <v>70</v>
      </c>
      <c r="W56" s="64">
        <v>70</v>
      </c>
      <c r="X56" s="64">
        <v>70</v>
      </c>
      <c r="Y56" s="45">
        <v>70.7</v>
      </c>
      <c r="Z56" s="45">
        <v>70.7</v>
      </c>
      <c r="AA56" s="45">
        <v>70.7</v>
      </c>
      <c r="AB56" s="45">
        <v>70.7</v>
      </c>
      <c r="AC56" s="45">
        <v>70.7</v>
      </c>
      <c r="AD56" s="45">
        <v>70.7</v>
      </c>
      <c r="AE56" s="45">
        <v>70.7</v>
      </c>
      <c r="AF56" s="45">
        <v>70.7</v>
      </c>
      <c r="AG56" s="54">
        <v>70</v>
      </c>
      <c r="AH56" s="47">
        <f t="shared" si="2"/>
        <v>70.8</v>
      </c>
      <c r="AI56" s="48">
        <f t="shared" si="3"/>
        <v>60</v>
      </c>
      <c r="AK56" s="50"/>
    </row>
    <row r="57" spans="1:41" x14ac:dyDescent="0.25">
      <c r="A57" s="53" t="s">
        <v>65</v>
      </c>
      <c r="B57" s="64">
        <v>66.3</v>
      </c>
      <c r="C57" s="64">
        <v>66.3</v>
      </c>
      <c r="D57" s="64">
        <v>66.3</v>
      </c>
      <c r="E57" s="64">
        <v>66.3</v>
      </c>
      <c r="F57" s="64">
        <v>60.3</v>
      </c>
      <c r="G57" s="64">
        <v>64.900000000000006</v>
      </c>
      <c r="H57" s="64">
        <v>64.900000000000006</v>
      </c>
      <c r="I57" s="64">
        <v>64.900000000000006</v>
      </c>
      <c r="J57" s="64">
        <v>64.900000000000006</v>
      </c>
      <c r="K57" s="64">
        <v>64.599999999999994</v>
      </c>
      <c r="L57" s="64">
        <v>64.599999999999994</v>
      </c>
      <c r="M57" s="64">
        <v>61.9</v>
      </c>
      <c r="N57" s="64">
        <v>65.2</v>
      </c>
      <c r="O57" s="64">
        <v>65.099999999999994</v>
      </c>
      <c r="P57" s="64">
        <v>65.099999999999994</v>
      </c>
      <c r="Q57" s="64">
        <v>61.7</v>
      </c>
      <c r="R57" s="64">
        <v>65.2</v>
      </c>
      <c r="S57" s="64">
        <v>65.2</v>
      </c>
      <c r="T57" s="64">
        <v>65.2</v>
      </c>
      <c r="U57" s="64">
        <v>65.2</v>
      </c>
      <c r="V57" s="64">
        <v>65.2</v>
      </c>
      <c r="W57" s="64">
        <v>65.2</v>
      </c>
      <c r="X57" s="64">
        <v>65.2</v>
      </c>
      <c r="Y57" s="45">
        <v>65.5</v>
      </c>
      <c r="Z57" s="45">
        <v>65.5</v>
      </c>
      <c r="AA57" s="45">
        <v>65.5</v>
      </c>
      <c r="AB57" s="45">
        <v>65.5</v>
      </c>
      <c r="AC57" s="45">
        <v>65.5</v>
      </c>
      <c r="AD57" s="45">
        <v>65.5</v>
      </c>
      <c r="AE57" s="45">
        <v>65.5</v>
      </c>
      <c r="AF57" s="45">
        <v>65.5</v>
      </c>
      <c r="AG57" s="54">
        <v>69</v>
      </c>
      <c r="AH57" s="47">
        <f t="shared" si="2"/>
        <v>66.3</v>
      </c>
      <c r="AI57" s="48">
        <f t="shared" si="3"/>
        <v>60.3</v>
      </c>
      <c r="AK57" s="50"/>
    </row>
    <row r="58" spans="1:41" x14ac:dyDescent="0.25">
      <c r="A58" s="53" t="s">
        <v>66</v>
      </c>
      <c r="B58" s="64">
        <v>60.9</v>
      </c>
      <c r="C58" s="64">
        <v>51</v>
      </c>
      <c r="D58" s="64">
        <v>61.2</v>
      </c>
      <c r="E58" s="64">
        <v>53.2</v>
      </c>
      <c r="F58" s="64">
        <v>52.6</v>
      </c>
      <c r="G58" s="64">
        <v>55</v>
      </c>
      <c r="H58" s="56">
        <v>60.4</v>
      </c>
      <c r="I58" s="56">
        <v>60.4</v>
      </c>
      <c r="J58" s="56">
        <v>60.4</v>
      </c>
      <c r="K58" s="56">
        <v>61.2</v>
      </c>
      <c r="L58" s="56">
        <v>61.2</v>
      </c>
      <c r="M58" s="64">
        <v>61.2</v>
      </c>
      <c r="N58" s="64">
        <v>61.2</v>
      </c>
      <c r="O58" s="64">
        <v>61.2</v>
      </c>
      <c r="P58" s="64">
        <v>61.2</v>
      </c>
      <c r="Q58" s="64">
        <v>61.2</v>
      </c>
      <c r="R58" s="64">
        <v>61.2</v>
      </c>
      <c r="S58" s="64">
        <v>61.2</v>
      </c>
      <c r="T58" s="64">
        <v>61.2</v>
      </c>
      <c r="U58" s="64">
        <v>61.2</v>
      </c>
      <c r="V58" s="64">
        <v>61.2</v>
      </c>
      <c r="W58" s="64">
        <v>61.2</v>
      </c>
      <c r="X58" s="64">
        <v>61.2</v>
      </c>
      <c r="Y58" s="45">
        <v>61.5</v>
      </c>
      <c r="Z58" s="45">
        <v>61.5</v>
      </c>
      <c r="AA58" s="45">
        <v>61.5</v>
      </c>
      <c r="AB58" s="45">
        <v>61.5</v>
      </c>
      <c r="AC58" s="45">
        <v>61.5</v>
      </c>
      <c r="AD58" s="45">
        <v>61.5</v>
      </c>
      <c r="AE58" s="45">
        <v>61.5</v>
      </c>
      <c r="AF58" s="45">
        <v>61.5</v>
      </c>
      <c r="AG58" s="54">
        <v>60</v>
      </c>
      <c r="AH58" s="47">
        <f t="shared" si="2"/>
        <v>61.5</v>
      </c>
      <c r="AI58" s="48">
        <f t="shared" si="3"/>
        <v>51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30</v>
      </c>
      <c r="F59" s="64">
        <v>30</v>
      </c>
      <c r="G59" s="64">
        <v>30</v>
      </c>
      <c r="H59" s="56">
        <v>30</v>
      </c>
      <c r="I59" s="56">
        <v>30</v>
      </c>
      <c r="J59" s="56">
        <v>30</v>
      </c>
      <c r="K59" s="56">
        <v>26</v>
      </c>
      <c r="L59" s="56">
        <v>26</v>
      </c>
      <c r="M59" s="64">
        <v>26</v>
      </c>
      <c r="N59" s="64">
        <v>29</v>
      </c>
      <c r="O59" s="64">
        <v>26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26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2.1</v>
      </c>
      <c r="L60" s="64">
        <v>3.4</v>
      </c>
      <c r="M60" s="64">
        <v>10.199999999999999</v>
      </c>
      <c r="N60" s="64">
        <v>10.6</v>
      </c>
      <c r="O60" s="64">
        <v>10.6</v>
      </c>
      <c r="P60" s="64">
        <v>14.1</v>
      </c>
      <c r="Q60" s="64">
        <v>14.1</v>
      </c>
      <c r="R60" s="64">
        <v>14.8</v>
      </c>
      <c r="S60" s="64">
        <v>14.8</v>
      </c>
      <c r="T60" s="64">
        <v>14.8</v>
      </c>
      <c r="U60" s="64">
        <v>14.8</v>
      </c>
      <c r="V60" s="64">
        <v>14.8</v>
      </c>
      <c r="W60" s="64">
        <v>0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14.8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13</v>
      </c>
      <c r="Q61" s="64">
        <v>13</v>
      </c>
      <c r="R61" s="64">
        <v>13</v>
      </c>
      <c r="S61" s="64">
        <v>13</v>
      </c>
      <c r="T61" s="64">
        <v>13</v>
      </c>
      <c r="U61" s="64">
        <v>13</v>
      </c>
      <c r="V61" s="64">
        <v>13</v>
      </c>
      <c r="W61" s="64">
        <v>13</v>
      </c>
      <c r="X61" s="64">
        <v>13</v>
      </c>
      <c r="Y61" s="64">
        <v>16</v>
      </c>
      <c r="Z61" s="64">
        <v>16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13</v>
      </c>
      <c r="AK61" s="50"/>
    </row>
    <row r="62" spans="1:41" x14ac:dyDescent="0.25">
      <c r="A62" s="53" t="s">
        <v>70</v>
      </c>
      <c r="B62" s="64">
        <v>4.2</v>
      </c>
      <c r="C62" s="64">
        <v>4.2</v>
      </c>
      <c r="D62" s="64">
        <v>4.2</v>
      </c>
      <c r="E62" s="64">
        <v>4.2</v>
      </c>
      <c r="F62" s="64">
        <v>4.2</v>
      </c>
      <c r="G62" s="64">
        <v>4.2</v>
      </c>
      <c r="H62" s="64">
        <v>4.2</v>
      </c>
      <c r="I62" s="64">
        <v>4.2</v>
      </c>
      <c r="J62" s="64">
        <v>4.2</v>
      </c>
      <c r="K62" s="64">
        <v>4.2</v>
      </c>
      <c r="L62" s="64">
        <v>4.2</v>
      </c>
      <c r="M62" s="64">
        <v>4.2</v>
      </c>
      <c r="N62" s="64">
        <v>4.2</v>
      </c>
      <c r="O62" s="64">
        <v>4.2</v>
      </c>
      <c r="P62" s="64">
        <v>4.2</v>
      </c>
      <c r="Q62" s="64">
        <v>4.2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10.5</v>
      </c>
      <c r="C63" s="64">
        <v>10.5</v>
      </c>
      <c r="D63" s="64">
        <v>10.5</v>
      </c>
      <c r="E63" s="64">
        <v>10.5</v>
      </c>
      <c r="F63" s="64">
        <v>10.9</v>
      </c>
      <c r="G63" s="64">
        <v>14.8</v>
      </c>
      <c r="H63" s="64">
        <v>11</v>
      </c>
      <c r="I63" s="64">
        <v>11</v>
      </c>
      <c r="J63" s="64">
        <v>10</v>
      </c>
      <c r="K63" s="64">
        <v>9.4</v>
      </c>
      <c r="L63" s="64">
        <v>9.4</v>
      </c>
      <c r="M63" s="64">
        <v>9.4</v>
      </c>
      <c r="N63" s="64">
        <v>9.6</v>
      </c>
      <c r="O63" s="64">
        <v>9.6999999999999993</v>
      </c>
      <c r="P63" s="64">
        <v>9.8000000000000007</v>
      </c>
      <c r="Q63" s="64">
        <v>9.8000000000000007</v>
      </c>
      <c r="R63" s="64">
        <v>9.8000000000000007</v>
      </c>
      <c r="S63" s="64">
        <v>9.8000000000000007</v>
      </c>
      <c r="T63" s="64">
        <v>9.8000000000000007</v>
      </c>
      <c r="U63" s="64">
        <v>9.8000000000000007</v>
      </c>
      <c r="V63" s="64">
        <v>9.8000000000000007</v>
      </c>
      <c r="W63" s="64">
        <v>9.8000000000000007</v>
      </c>
      <c r="X63" s="64">
        <v>9.8000000000000007</v>
      </c>
      <c r="Y63" s="64">
        <v>9.8000000000000007</v>
      </c>
      <c r="Z63" s="64">
        <v>9.8000000000000007</v>
      </c>
      <c r="AA63" s="64">
        <v>9.8000000000000007</v>
      </c>
      <c r="AB63" s="64">
        <v>9.9</v>
      </c>
      <c r="AC63" s="64">
        <v>9.9</v>
      </c>
      <c r="AD63" s="64">
        <v>9.9</v>
      </c>
      <c r="AE63" s="64">
        <v>9.9</v>
      </c>
      <c r="AF63" s="64">
        <v>9.9</v>
      </c>
      <c r="AG63" s="54">
        <v>14.1</v>
      </c>
      <c r="AH63" s="47">
        <f t="shared" si="2"/>
        <v>14.8</v>
      </c>
      <c r="AI63" s="48">
        <f t="shared" si="3"/>
        <v>9.4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14</v>
      </c>
      <c r="D64" s="64">
        <v>14</v>
      </c>
      <c r="E64" s="64">
        <v>4</v>
      </c>
      <c r="F64" s="64">
        <v>8.4</v>
      </c>
      <c r="G64" s="64">
        <v>4</v>
      </c>
      <c r="H64" s="64">
        <v>4</v>
      </c>
      <c r="I64" s="64">
        <v>10</v>
      </c>
      <c r="J64" s="64">
        <v>13</v>
      </c>
      <c r="K64" s="64">
        <v>13.7</v>
      </c>
      <c r="L64" s="64">
        <v>13</v>
      </c>
      <c r="M64" s="64">
        <v>5.0999999999999996</v>
      </c>
      <c r="N64" s="64">
        <v>13.7</v>
      </c>
      <c r="O64" s="64">
        <v>13.7</v>
      </c>
      <c r="P64" s="64">
        <v>13.7</v>
      </c>
      <c r="Q64" s="64">
        <v>13.7</v>
      </c>
      <c r="R64" s="64">
        <v>13.7</v>
      </c>
      <c r="S64" s="64">
        <v>13.7</v>
      </c>
      <c r="T64" s="64">
        <v>13.7</v>
      </c>
      <c r="U64" s="64">
        <v>13.7</v>
      </c>
      <c r="V64" s="64">
        <v>13.7</v>
      </c>
      <c r="W64" s="64">
        <v>13.7</v>
      </c>
      <c r="X64" s="64">
        <v>13.7</v>
      </c>
      <c r="Y64" s="64">
        <v>13.7</v>
      </c>
      <c r="Z64" s="64">
        <v>13.7</v>
      </c>
      <c r="AA64" s="64">
        <v>13.7</v>
      </c>
      <c r="AB64" s="64">
        <v>13.7</v>
      </c>
      <c r="AC64" s="64">
        <v>13.7</v>
      </c>
      <c r="AD64" s="64">
        <v>13.7</v>
      </c>
      <c r="AE64" s="64">
        <v>13.7</v>
      </c>
      <c r="AF64" s="64">
        <v>13.7</v>
      </c>
      <c r="AG64" s="54">
        <v>14</v>
      </c>
      <c r="AH64" s="47">
        <f t="shared" si="2"/>
        <v>14</v>
      </c>
      <c r="AI64" s="48">
        <f t="shared" si="3"/>
        <v>4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9">SUM(B55:B67)</f>
        <v>435.03999999999996</v>
      </c>
      <c r="C68" s="60">
        <f t="shared" si="9"/>
        <v>425.14</v>
      </c>
      <c r="D68" s="60">
        <f t="shared" si="9"/>
        <v>426.03999999999996</v>
      </c>
      <c r="E68" s="60">
        <f t="shared" si="9"/>
        <v>408.03999999999996</v>
      </c>
      <c r="F68" s="60">
        <f t="shared" si="9"/>
        <v>397.64</v>
      </c>
      <c r="G68" s="60">
        <f t="shared" si="9"/>
        <v>407.84</v>
      </c>
      <c r="H68" s="60">
        <f t="shared" si="9"/>
        <v>422.93999999999994</v>
      </c>
      <c r="I68" s="60">
        <f t="shared" si="9"/>
        <v>428.93999999999994</v>
      </c>
      <c r="J68" s="60">
        <f t="shared" si="9"/>
        <v>430.93999999999994</v>
      </c>
      <c r="K68" s="60">
        <f t="shared" si="9"/>
        <v>429.43999999999994</v>
      </c>
      <c r="L68" s="60">
        <f t="shared" si="9"/>
        <v>430.03999999999991</v>
      </c>
      <c r="M68" s="60">
        <f t="shared" si="9"/>
        <v>424.14</v>
      </c>
      <c r="N68" s="60">
        <f t="shared" si="9"/>
        <v>438.04</v>
      </c>
      <c r="O68" s="60">
        <f t="shared" si="9"/>
        <v>434.03999999999996</v>
      </c>
      <c r="P68" s="60">
        <f t="shared" si="9"/>
        <v>436.73999999999995</v>
      </c>
      <c r="Q68" s="60">
        <f t="shared" si="9"/>
        <v>427.64</v>
      </c>
      <c r="R68" s="60">
        <f t="shared" si="9"/>
        <v>435.84</v>
      </c>
      <c r="S68" s="60">
        <f t="shared" si="9"/>
        <v>435.84</v>
      </c>
      <c r="T68" s="60">
        <f t="shared" ref="T68:AF68" si="10">SUM(T55:T67)</f>
        <v>435.84</v>
      </c>
      <c r="U68" s="60">
        <f t="shared" si="10"/>
        <v>435.04</v>
      </c>
      <c r="V68" s="60">
        <f t="shared" si="10"/>
        <v>435.04</v>
      </c>
      <c r="W68" s="60">
        <f t="shared" si="10"/>
        <v>420.24</v>
      </c>
      <c r="X68" s="60">
        <f t="shared" si="10"/>
        <v>420.24</v>
      </c>
      <c r="Y68" s="60">
        <f t="shared" si="10"/>
        <v>430.14</v>
      </c>
      <c r="Z68" s="60">
        <f t="shared" si="10"/>
        <v>430.14</v>
      </c>
      <c r="AA68" s="60">
        <f t="shared" si="10"/>
        <v>430.14</v>
      </c>
      <c r="AB68" s="60">
        <f t="shared" si="10"/>
        <v>430.23999999999995</v>
      </c>
      <c r="AC68" s="60">
        <f t="shared" si="10"/>
        <v>430.23999999999995</v>
      </c>
      <c r="AD68" s="60">
        <f t="shared" si="10"/>
        <v>430.23999999999995</v>
      </c>
      <c r="AE68" s="60">
        <f t="shared" si="10"/>
        <v>430.23999999999995</v>
      </c>
      <c r="AF68" s="60">
        <f t="shared" si="10"/>
        <v>430.23999999999995</v>
      </c>
      <c r="AG68" s="61">
        <f t="shared" si="9"/>
        <v>489.91</v>
      </c>
      <c r="AH68" s="47">
        <f t="shared" si="2"/>
        <v>438.04</v>
      </c>
      <c r="AI68" s="48">
        <f t="shared" si="3"/>
        <v>397.64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>
        <v>25</v>
      </c>
      <c r="Z69" s="45">
        <v>25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25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>
        <v>11</v>
      </c>
      <c r="Z70" s="64">
        <v>11</v>
      </c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11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>
        <v>4</v>
      </c>
      <c r="Z71" s="66">
        <v>4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1">M69+M70+M71</f>
        <v>0</v>
      </c>
      <c r="N72" s="60">
        <f t="shared" si="11"/>
        <v>0</v>
      </c>
      <c r="O72" s="60">
        <f t="shared" si="11"/>
        <v>0</v>
      </c>
      <c r="P72" s="60">
        <f t="shared" si="11"/>
        <v>0</v>
      </c>
      <c r="Q72" s="60">
        <f t="shared" si="11"/>
        <v>0</v>
      </c>
      <c r="R72" s="60">
        <f t="shared" si="11"/>
        <v>0</v>
      </c>
      <c r="S72" s="60">
        <f t="shared" si="11"/>
        <v>0</v>
      </c>
      <c r="T72" s="60">
        <f>T69+T70+T71</f>
        <v>0</v>
      </c>
      <c r="U72" s="60">
        <f>U69+U70+U71</f>
        <v>0</v>
      </c>
      <c r="V72" s="60">
        <f>V69+V70+V71</f>
        <v>0</v>
      </c>
      <c r="W72" s="60">
        <f>W69+W70+W71</f>
        <v>0</v>
      </c>
      <c r="X72" s="60">
        <f t="shared" ref="X72:AC72" si="12">X69+X70+X71</f>
        <v>0</v>
      </c>
      <c r="Y72" s="60">
        <f t="shared" si="12"/>
        <v>40</v>
      </c>
      <c r="Z72" s="60">
        <f t="shared" si="12"/>
        <v>40</v>
      </c>
      <c r="AA72" s="60">
        <f t="shared" si="12"/>
        <v>0</v>
      </c>
      <c r="AB72" s="60">
        <f t="shared" si="12"/>
        <v>0</v>
      </c>
      <c r="AC72" s="60">
        <f t="shared" si="12"/>
        <v>0</v>
      </c>
      <c r="AD72" s="60">
        <f t="shared" si="11"/>
        <v>0</v>
      </c>
      <c r="AE72" s="60">
        <f t="shared" si="11"/>
        <v>0</v>
      </c>
      <c r="AF72" s="60">
        <f t="shared" si="11"/>
        <v>0</v>
      </c>
      <c r="AG72" s="61">
        <f>SUM(AG69:AG71)</f>
        <v>106</v>
      </c>
      <c r="AH72" s="47">
        <f t="shared" si="2"/>
        <v>40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-58.6</v>
      </c>
      <c r="C73" s="45">
        <v>-60.8</v>
      </c>
      <c r="D73" s="45">
        <v>-64.099999999999994</v>
      </c>
      <c r="E73" s="45">
        <v>-68</v>
      </c>
      <c r="F73" s="45">
        <v>-69</v>
      </c>
      <c r="G73" s="45">
        <v>-55</v>
      </c>
      <c r="H73" s="45">
        <v>-65.5</v>
      </c>
      <c r="I73" s="45">
        <v>-72</v>
      </c>
      <c r="J73" s="45">
        <v>-74.5</v>
      </c>
      <c r="K73" s="45">
        <v>-70</v>
      </c>
      <c r="L73" s="45">
        <v>-73.7</v>
      </c>
      <c r="M73" s="45">
        <v>-73.2</v>
      </c>
      <c r="N73" s="45">
        <v>-75.5</v>
      </c>
      <c r="O73" s="45">
        <v>-70</v>
      </c>
      <c r="P73" s="45">
        <v>-65</v>
      </c>
      <c r="Q73" s="45">
        <v>-64.400000000000006</v>
      </c>
      <c r="R73" s="45">
        <v>-61</v>
      </c>
      <c r="S73" s="45">
        <v>-57</v>
      </c>
      <c r="T73" s="45">
        <v>-57</v>
      </c>
      <c r="U73" s="45">
        <v>-65</v>
      </c>
      <c r="V73" s="45">
        <v>-61.5</v>
      </c>
      <c r="W73" s="45">
        <v>-64</v>
      </c>
      <c r="X73" s="45">
        <v>-66</v>
      </c>
      <c r="Y73" s="45">
        <v>-22</v>
      </c>
      <c r="Z73" s="45">
        <v>-5</v>
      </c>
      <c r="AA73" s="45">
        <v>-10</v>
      </c>
      <c r="AB73" s="45">
        <v>-0.7</v>
      </c>
      <c r="AC73" s="45">
        <v>0</v>
      </c>
      <c r="AD73" s="45">
        <v>-50</v>
      </c>
      <c r="AE73" s="45">
        <v>-54</v>
      </c>
      <c r="AF73" s="45">
        <v>-58</v>
      </c>
      <c r="AG73" s="51"/>
      <c r="AH73" s="47">
        <f t="shared" si="2"/>
        <v>0</v>
      </c>
      <c r="AI73" s="48">
        <f t="shared" si="3"/>
        <v>-75.5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-526</v>
      </c>
      <c r="C75" s="64">
        <v>-527</v>
      </c>
      <c r="D75" s="64">
        <v>-569</v>
      </c>
      <c r="E75" s="64">
        <v>-575.29999999999995</v>
      </c>
      <c r="F75" s="64">
        <v>-568</v>
      </c>
      <c r="G75" s="64">
        <v>-568</v>
      </c>
      <c r="H75" s="64">
        <v>-576.4</v>
      </c>
      <c r="I75" s="64">
        <v>-568</v>
      </c>
      <c r="J75" s="64">
        <v>-564.9</v>
      </c>
      <c r="K75" s="64">
        <v>-585.79999999999995</v>
      </c>
      <c r="L75" s="64">
        <v>-554</v>
      </c>
      <c r="M75" s="64">
        <v>-555.5</v>
      </c>
      <c r="N75" s="64">
        <v>-568</v>
      </c>
      <c r="O75" s="64">
        <v>-531</v>
      </c>
      <c r="P75" s="64">
        <v>-534.70000000000005</v>
      </c>
      <c r="Q75" s="64">
        <v>-534.79999999999995</v>
      </c>
      <c r="R75" s="64">
        <v>-580</v>
      </c>
      <c r="S75" s="64">
        <v>-565</v>
      </c>
      <c r="T75" s="64">
        <v>-566</v>
      </c>
      <c r="U75" s="64">
        <v>-522</v>
      </c>
      <c r="V75" s="64">
        <v>-565</v>
      </c>
      <c r="W75" s="64">
        <v>-548</v>
      </c>
      <c r="X75" s="64">
        <v>-500</v>
      </c>
      <c r="Y75" s="64">
        <v>-445</v>
      </c>
      <c r="Z75" s="64">
        <v>-450</v>
      </c>
      <c r="AA75" s="64">
        <v>-477</v>
      </c>
      <c r="AB75" s="64">
        <v>-503</v>
      </c>
      <c r="AC75" s="64">
        <v>-522</v>
      </c>
      <c r="AD75" s="64">
        <v>-508</v>
      </c>
      <c r="AE75" s="64">
        <v>-530</v>
      </c>
      <c r="AF75" s="64">
        <v>-502</v>
      </c>
      <c r="AG75" s="74"/>
      <c r="AH75" s="47">
        <f t="shared" si="2"/>
        <v>-445</v>
      </c>
      <c r="AI75" s="48">
        <f t="shared" si="3"/>
        <v>-585.79999999999995</v>
      </c>
      <c r="AK75" s="50"/>
    </row>
    <row r="76" spans="1:40" x14ac:dyDescent="0.25">
      <c r="A76" s="53" t="s">
        <v>84</v>
      </c>
      <c r="B76" s="64">
        <v>0</v>
      </c>
      <c r="C76" s="64">
        <v>0</v>
      </c>
      <c r="D76" s="64">
        <v>0</v>
      </c>
      <c r="E76" s="64">
        <v>0</v>
      </c>
      <c r="F76" s="64">
        <v>0</v>
      </c>
      <c r="G76" s="64">
        <v>0</v>
      </c>
      <c r="H76" s="64">
        <v>0</v>
      </c>
      <c r="I76" s="64">
        <v>0</v>
      </c>
      <c r="J76" s="64">
        <v>0</v>
      </c>
      <c r="K76" s="64">
        <v>0</v>
      </c>
      <c r="L76" s="64">
        <v>0</v>
      </c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3">MAX(B77:AF77)</f>
        <v>0</v>
      </c>
      <c r="AI77" s="48">
        <f t="shared" ref="AI77:AI120" si="14">MIN(B77:AF77)</f>
        <v>0</v>
      </c>
      <c r="AK77" s="50"/>
    </row>
    <row r="78" spans="1:40" x14ac:dyDescent="0.25">
      <c r="A78" s="53" t="s">
        <v>86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3"/>
        <v>0</v>
      </c>
      <c r="AI78" s="48">
        <f t="shared" si="14"/>
        <v>0</v>
      </c>
      <c r="AK78" s="50"/>
    </row>
    <row r="79" spans="1:40" ht="15.75" thickBot="1" x14ac:dyDescent="0.3">
      <c r="A79" s="53" t="s">
        <v>87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3"/>
        <v>0</v>
      </c>
      <c r="AI79" s="48">
        <f t="shared" si="14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3"/>
        <v>0</v>
      </c>
      <c r="AI80" s="48">
        <f t="shared" si="14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3"/>
        <v>0</v>
      </c>
      <c r="AI81" s="48">
        <f t="shared" si="14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3"/>
        <v>0</v>
      </c>
      <c r="AI82" s="48">
        <f t="shared" si="14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3"/>
        <v>0</v>
      </c>
      <c r="AI83" s="48">
        <f t="shared" si="14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S84" si="15">SUMIF(B73:B83,"&gt;0")</f>
        <v>0</v>
      </c>
      <c r="C84" s="60">
        <f t="shared" si="15"/>
        <v>0</v>
      </c>
      <c r="D84" s="60">
        <f t="shared" si="15"/>
        <v>0</v>
      </c>
      <c r="E84" s="60">
        <f t="shared" si="15"/>
        <v>0</v>
      </c>
      <c r="F84" s="60">
        <f t="shared" si="15"/>
        <v>0</v>
      </c>
      <c r="G84" s="60">
        <f t="shared" si="15"/>
        <v>0</v>
      </c>
      <c r="H84" s="60">
        <f t="shared" si="15"/>
        <v>0</v>
      </c>
      <c r="I84" s="60">
        <f t="shared" si="15"/>
        <v>0</v>
      </c>
      <c r="J84" s="60">
        <f t="shared" si="15"/>
        <v>0</v>
      </c>
      <c r="K84" s="60">
        <f t="shared" si="15"/>
        <v>0</v>
      </c>
      <c r="L84" s="60">
        <f t="shared" si="15"/>
        <v>0</v>
      </c>
      <c r="M84" s="60">
        <f t="shared" si="15"/>
        <v>0</v>
      </c>
      <c r="N84" s="60">
        <f t="shared" si="15"/>
        <v>0</v>
      </c>
      <c r="O84" s="60">
        <f t="shared" si="15"/>
        <v>0</v>
      </c>
      <c r="P84" s="60">
        <f t="shared" si="15"/>
        <v>0</v>
      </c>
      <c r="Q84" s="60">
        <f t="shared" si="15"/>
        <v>0</v>
      </c>
      <c r="R84" s="60">
        <f t="shared" si="15"/>
        <v>0</v>
      </c>
      <c r="S84" s="60">
        <f t="shared" si="15"/>
        <v>0</v>
      </c>
      <c r="T84" s="60">
        <f t="shared" ref="T84:AF84" si="16">SUMIF(T73:T83,"&gt;0")</f>
        <v>0</v>
      </c>
      <c r="U84" s="60">
        <f t="shared" si="16"/>
        <v>0</v>
      </c>
      <c r="V84" s="60">
        <f t="shared" si="16"/>
        <v>0</v>
      </c>
      <c r="W84" s="60">
        <f t="shared" si="16"/>
        <v>0</v>
      </c>
      <c r="X84" s="60">
        <f t="shared" si="16"/>
        <v>0</v>
      </c>
      <c r="Y84" s="60">
        <f t="shared" si="16"/>
        <v>0</v>
      </c>
      <c r="Z84" s="60">
        <f t="shared" si="16"/>
        <v>0</v>
      </c>
      <c r="AA84" s="60">
        <f t="shared" si="16"/>
        <v>0</v>
      </c>
      <c r="AB84" s="60">
        <f t="shared" si="16"/>
        <v>0</v>
      </c>
      <c r="AC84" s="60">
        <f t="shared" si="16"/>
        <v>0</v>
      </c>
      <c r="AD84" s="60">
        <f t="shared" si="16"/>
        <v>0</v>
      </c>
      <c r="AE84" s="60">
        <f t="shared" si="16"/>
        <v>0</v>
      </c>
      <c r="AF84" s="60">
        <f t="shared" si="16"/>
        <v>0</v>
      </c>
      <c r="AG84" s="87">
        <f>SUM(AG73:AG83)</f>
        <v>0</v>
      </c>
      <c r="AH84" s="47">
        <f t="shared" si="13"/>
        <v>0</v>
      </c>
      <c r="AI84" s="48">
        <f t="shared" si="14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3"/>
        <v>0</v>
      </c>
      <c r="AI85" s="48">
        <f t="shared" si="14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3"/>
        <v>0</v>
      </c>
      <c r="AI86" s="48">
        <f t="shared" si="14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3"/>
        <v>0</v>
      </c>
      <c r="AI87" s="48">
        <f t="shared" si="14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3"/>
        <v>0</v>
      </c>
      <c r="AI88" s="48">
        <f t="shared" si="14"/>
        <v>0</v>
      </c>
    </row>
    <row r="89" spans="1:40" ht="15.75" thickBot="1" x14ac:dyDescent="0.3">
      <c r="A89" s="73" t="s">
        <v>100</v>
      </c>
      <c r="B89" s="94">
        <f t="shared" ref="B89:AG89" si="17">B50+B54+B72+B68+B84+B88</f>
        <v>2048.94</v>
      </c>
      <c r="C89" s="94">
        <f t="shared" si="17"/>
        <v>2034.6399999999999</v>
      </c>
      <c r="D89" s="94">
        <f t="shared" si="17"/>
        <v>2044.54</v>
      </c>
      <c r="E89" s="94">
        <f t="shared" si="17"/>
        <v>2026.54</v>
      </c>
      <c r="F89" s="94">
        <f t="shared" si="17"/>
        <v>2016.1399999999999</v>
      </c>
      <c r="G89" s="94">
        <f t="shared" si="17"/>
        <v>2026.34</v>
      </c>
      <c r="H89" s="94">
        <f t="shared" si="17"/>
        <v>2038.44</v>
      </c>
      <c r="I89" s="94">
        <f t="shared" si="17"/>
        <v>2042.44</v>
      </c>
      <c r="J89" s="94">
        <f t="shared" si="17"/>
        <v>2067.54</v>
      </c>
      <c r="K89" s="94">
        <f t="shared" si="17"/>
        <v>2116.04</v>
      </c>
      <c r="L89" s="94">
        <f t="shared" si="17"/>
        <v>2121.84</v>
      </c>
      <c r="M89" s="94">
        <f t="shared" si="17"/>
        <v>2115.3399999999997</v>
      </c>
      <c r="N89" s="94">
        <f t="shared" si="17"/>
        <v>2130.54</v>
      </c>
      <c r="O89" s="94">
        <f t="shared" si="17"/>
        <v>2126.34</v>
      </c>
      <c r="P89" s="94">
        <f t="shared" si="17"/>
        <v>2129.04</v>
      </c>
      <c r="Q89" s="94">
        <f t="shared" si="17"/>
        <v>2120.44</v>
      </c>
      <c r="R89" s="94">
        <f t="shared" si="17"/>
        <v>2101.34</v>
      </c>
      <c r="S89" s="94">
        <f t="shared" si="17"/>
        <v>2101.34</v>
      </c>
      <c r="T89" s="94">
        <f>T50+T54+T72+T68+T84+T88</f>
        <v>2094.84</v>
      </c>
      <c r="U89" s="94">
        <f>U50+U54+U72+U68+U84+U88</f>
        <v>2094.04</v>
      </c>
      <c r="V89" s="94">
        <f t="shared" ref="V89:AA89" si="18">V50+V54+V72+V68+V84+V88</f>
        <v>2100.64</v>
      </c>
      <c r="W89" s="94">
        <f t="shared" si="18"/>
        <v>2077.1400000000003</v>
      </c>
      <c r="X89" s="94">
        <f t="shared" si="18"/>
        <v>2119.94</v>
      </c>
      <c r="Y89" s="94">
        <f t="shared" si="18"/>
        <v>2191.54</v>
      </c>
      <c r="Z89" s="94">
        <f t="shared" si="18"/>
        <v>2196.54</v>
      </c>
      <c r="AA89" s="94">
        <f t="shared" si="18"/>
        <v>2151.54</v>
      </c>
      <c r="AB89" s="94">
        <f>AB50+AB54+AB72+AB68+AB84+AB88</f>
        <v>2146.4399999999996</v>
      </c>
      <c r="AC89" s="94">
        <f t="shared" si="17"/>
        <v>2141.4399999999996</v>
      </c>
      <c r="AD89" s="94">
        <f t="shared" si="17"/>
        <v>2092.4399999999996</v>
      </c>
      <c r="AE89" s="94">
        <f t="shared" si="17"/>
        <v>2071.44</v>
      </c>
      <c r="AF89" s="94">
        <f t="shared" si="17"/>
        <v>2066.44</v>
      </c>
      <c r="AG89" s="61">
        <f t="shared" si="17"/>
        <v>2111.5500000000002</v>
      </c>
      <c r="AH89" s="47">
        <f t="shared" si="13"/>
        <v>2196.54</v>
      </c>
      <c r="AI89" s="48">
        <f t="shared" si="14"/>
        <v>2016.1399999999999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3"/>
        <v>0</v>
      </c>
      <c r="AI90" s="48">
        <f t="shared" si="14"/>
        <v>0</v>
      </c>
    </row>
    <row r="91" spans="1:40" ht="15.75" thickBot="1" x14ac:dyDescent="0.3">
      <c r="A91" s="73" t="s">
        <v>102</v>
      </c>
      <c r="B91" s="94">
        <f t="shared" ref="B91:AF91" si="19">B89+B90</f>
        <v>2048.94</v>
      </c>
      <c r="C91" s="94">
        <f t="shared" si="19"/>
        <v>2034.6399999999999</v>
      </c>
      <c r="D91" s="94">
        <f t="shared" si="19"/>
        <v>2044.54</v>
      </c>
      <c r="E91" s="94">
        <f t="shared" si="19"/>
        <v>2026.54</v>
      </c>
      <c r="F91" s="94">
        <f t="shared" si="19"/>
        <v>2016.1399999999999</v>
      </c>
      <c r="G91" s="94">
        <f t="shared" si="19"/>
        <v>2026.34</v>
      </c>
      <c r="H91" s="94">
        <f t="shared" si="19"/>
        <v>2038.44</v>
      </c>
      <c r="I91" s="94">
        <f t="shared" si="19"/>
        <v>2042.44</v>
      </c>
      <c r="J91" s="94">
        <f t="shared" si="19"/>
        <v>2067.54</v>
      </c>
      <c r="K91" s="94">
        <f t="shared" si="19"/>
        <v>2116.04</v>
      </c>
      <c r="L91" s="94">
        <f t="shared" si="19"/>
        <v>2121.84</v>
      </c>
      <c r="M91" s="94">
        <f t="shared" si="19"/>
        <v>2115.3399999999997</v>
      </c>
      <c r="N91" s="94">
        <f t="shared" si="19"/>
        <v>2130.54</v>
      </c>
      <c r="O91" s="94">
        <f t="shared" si="19"/>
        <v>2126.34</v>
      </c>
      <c r="P91" s="94">
        <f t="shared" si="19"/>
        <v>2129.04</v>
      </c>
      <c r="Q91" s="94">
        <f t="shared" si="19"/>
        <v>2120.44</v>
      </c>
      <c r="R91" s="94">
        <f t="shared" si="19"/>
        <v>2101.34</v>
      </c>
      <c r="S91" s="94">
        <f t="shared" si="19"/>
        <v>2101.34</v>
      </c>
      <c r="T91" s="94">
        <f>T89+T90</f>
        <v>2094.84</v>
      </c>
      <c r="U91" s="94">
        <f>U89+U90</f>
        <v>2094.04</v>
      </c>
      <c r="V91" s="94">
        <f t="shared" ref="V91:AB91" si="20">V89+V90</f>
        <v>2100.64</v>
      </c>
      <c r="W91" s="94">
        <f t="shared" si="20"/>
        <v>2077.1400000000003</v>
      </c>
      <c r="X91" s="94">
        <f t="shared" si="20"/>
        <v>2119.94</v>
      </c>
      <c r="Y91" s="94">
        <f t="shared" si="20"/>
        <v>2191.54</v>
      </c>
      <c r="Z91" s="94">
        <f t="shared" si="20"/>
        <v>2196.54</v>
      </c>
      <c r="AA91" s="94">
        <f t="shared" si="20"/>
        <v>2151.54</v>
      </c>
      <c r="AB91" s="94">
        <f t="shared" si="20"/>
        <v>2146.4399999999996</v>
      </c>
      <c r="AC91" s="94">
        <f t="shared" si="19"/>
        <v>2141.4399999999996</v>
      </c>
      <c r="AD91" s="94">
        <f t="shared" si="19"/>
        <v>2092.4399999999996</v>
      </c>
      <c r="AE91" s="94">
        <f t="shared" si="19"/>
        <v>2071.44</v>
      </c>
      <c r="AF91" s="94">
        <f t="shared" si="19"/>
        <v>2066.44</v>
      </c>
      <c r="AG91" s="87">
        <f>AG88+AG84+AG72+AG68+AG50+AG90</f>
        <v>1573.45</v>
      </c>
      <c r="AH91" s="47">
        <f t="shared" si="13"/>
        <v>2196.54</v>
      </c>
      <c r="AI91" s="48">
        <f t="shared" si="14"/>
        <v>2016.1399999999999</v>
      </c>
    </row>
    <row r="92" spans="1:40" ht="15.75" thickBot="1" x14ac:dyDescent="0.3">
      <c r="A92" s="73" t="s">
        <v>103</v>
      </c>
      <c r="B92" s="94">
        <f>B91-(-B99)</f>
        <v>1522.94</v>
      </c>
      <c r="C92" s="94">
        <f t="shared" ref="C92:S92" si="21">C91-(-C99)</f>
        <v>1507.6399999999999</v>
      </c>
      <c r="D92" s="94">
        <f t="shared" si="21"/>
        <v>1475.54</v>
      </c>
      <c r="E92" s="94">
        <f t="shared" si="21"/>
        <v>1451.24</v>
      </c>
      <c r="F92" s="94">
        <f t="shared" si="21"/>
        <v>1448.1399999999999</v>
      </c>
      <c r="G92" s="94">
        <f t="shared" si="21"/>
        <v>1458.34</v>
      </c>
      <c r="H92" s="94">
        <f t="shared" si="21"/>
        <v>1462.04</v>
      </c>
      <c r="I92" s="94">
        <f t="shared" si="21"/>
        <v>1474.44</v>
      </c>
      <c r="J92" s="94">
        <f t="shared" si="21"/>
        <v>1502.6399999999999</v>
      </c>
      <c r="K92" s="94">
        <f t="shared" si="21"/>
        <v>1530.24</v>
      </c>
      <c r="L92" s="94">
        <f t="shared" si="21"/>
        <v>1567.8400000000001</v>
      </c>
      <c r="M92" s="94">
        <f t="shared" si="21"/>
        <v>1559.8399999999997</v>
      </c>
      <c r="N92" s="94">
        <f t="shared" si="21"/>
        <v>1562.54</v>
      </c>
      <c r="O92" s="94">
        <f t="shared" si="21"/>
        <v>1595.3400000000001</v>
      </c>
      <c r="P92" s="94">
        <f t="shared" si="21"/>
        <v>1594.34</v>
      </c>
      <c r="Q92" s="94">
        <f t="shared" si="21"/>
        <v>1585.64</v>
      </c>
      <c r="R92" s="94">
        <f t="shared" si="21"/>
        <v>1521.3400000000001</v>
      </c>
      <c r="S92" s="94">
        <f t="shared" si="21"/>
        <v>1536.3400000000001</v>
      </c>
      <c r="T92" s="94">
        <f>T91-(-T99)</f>
        <v>1528.8400000000001</v>
      </c>
      <c r="U92" s="94">
        <f>U91-(-U99)</f>
        <v>1572.04</v>
      </c>
      <c r="V92" s="94">
        <f>V91-(-V99)</f>
        <v>1535.6399999999999</v>
      </c>
      <c r="W92" s="94">
        <f>W91-(-W99)</f>
        <v>1529.1400000000003</v>
      </c>
      <c r="X92" s="94">
        <f t="shared" ref="X92:AF92" si="22">X91-(-X99)</f>
        <v>1619.94</v>
      </c>
      <c r="Y92" s="94">
        <f t="shared" si="22"/>
        <v>1746.54</v>
      </c>
      <c r="Z92" s="94">
        <f t="shared" si="22"/>
        <v>1746.54</v>
      </c>
      <c r="AA92" s="94">
        <f t="shared" si="22"/>
        <v>1674.54</v>
      </c>
      <c r="AB92" s="94">
        <f t="shared" si="22"/>
        <v>1643.4399999999996</v>
      </c>
      <c r="AC92" s="94">
        <f t="shared" si="22"/>
        <v>1619.4399999999996</v>
      </c>
      <c r="AD92" s="94">
        <f t="shared" si="22"/>
        <v>1584.4399999999996</v>
      </c>
      <c r="AE92" s="94">
        <f t="shared" si="22"/>
        <v>1541.44</v>
      </c>
      <c r="AF92" s="94">
        <f t="shared" si="22"/>
        <v>1564.44</v>
      </c>
      <c r="AG92" s="87"/>
      <c r="AH92" s="47">
        <f t="shared" si="13"/>
        <v>1746.54</v>
      </c>
      <c r="AI92" s="48">
        <f t="shared" si="14"/>
        <v>1448.1399999999999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3"/>
        <v>0</v>
      </c>
      <c r="AI93" s="48">
        <f t="shared" si="14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3"/>
        <v>0</v>
      </c>
      <c r="AI94" s="48">
        <f t="shared" si="14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3"/>
        <v>0</v>
      </c>
      <c r="AI95" s="48">
        <f t="shared" si="14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3"/>
        <v>0</v>
      </c>
      <c r="AI96" s="48">
        <f t="shared" si="14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3"/>
        <v>0</v>
      </c>
      <c r="AI97" s="48">
        <f t="shared" si="14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3"/>
        <v>0</v>
      </c>
      <c r="AI98" s="48">
        <f t="shared" si="14"/>
        <v>0</v>
      </c>
    </row>
    <row r="99" spans="1:37" ht="15.75" thickBot="1" x14ac:dyDescent="0.3">
      <c r="A99" s="98" t="s">
        <v>107</v>
      </c>
      <c r="B99" s="60">
        <f>B75</f>
        <v>-526</v>
      </c>
      <c r="C99" s="60">
        <f t="shared" ref="C99:S99" si="23">C75</f>
        <v>-527</v>
      </c>
      <c r="D99" s="60">
        <f t="shared" si="23"/>
        <v>-569</v>
      </c>
      <c r="E99" s="60">
        <f t="shared" si="23"/>
        <v>-575.29999999999995</v>
      </c>
      <c r="F99" s="60">
        <f t="shared" si="23"/>
        <v>-568</v>
      </c>
      <c r="G99" s="60">
        <f t="shared" si="23"/>
        <v>-568</v>
      </c>
      <c r="H99" s="60">
        <f t="shared" si="23"/>
        <v>-576.4</v>
      </c>
      <c r="I99" s="60">
        <f t="shared" si="23"/>
        <v>-568</v>
      </c>
      <c r="J99" s="60">
        <f t="shared" si="23"/>
        <v>-564.9</v>
      </c>
      <c r="K99" s="60">
        <f t="shared" si="23"/>
        <v>-585.79999999999995</v>
      </c>
      <c r="L99" s="60">
        <f t="shared" si="23"/>
        <v>-554</v>
      </c>
      <c r="M99" s="60">
        <f t="shared" si="23"/>
        <v>-555.5</v>
      </c>
      <c r="N99" s="60">
        <f t="shared" si="23"/>
        <v>-568</v>
      </c>
      <c r="O99" s="60">
        <f t="shared" si="23"/>
        <v>-531</v>
      </c>
      <c r="P99" s="60">
        <f t="shared" si="23"/>
        <v>-534.70000000000005</v>
      </c>
      <c r="Q99" s="60">
        <f t="shared" si="23"/>
        <v>-534.79999999999995</v>
      </c>
      <c r="R99" s="60">
        <f t="shared" si="23"/>
        <v>-580</v>
      </c>
      <c r="S99" s="60">
        <f t="shared" si="23"/>
        <v>-565</v>
      </c>
      <c r="T99" s="60">
        <f t="shared" ref="T99:AF99" si="24">T75</f>
        <v>-566</v>
      </c>
      <c r="U99" s="60">
        <f t="shared" si="24"/>
        <v>-522</v>
      </c>
      <c r="V99" s="60">
        <f t="shared" si="24"/>
        <v>-565</v>
      </c>
      <c r="W99" s="60">
        <f t="shared" si="24"/>
        <v>-548</v>
      </c>
      <c r="X99" s="60">
        <f t="shared" si="24"/>
        <v>-500</v>
      </c>
      <c r="Y99" s="60">
        <f t="shared" si="24"/>
        <v>-445</v>
      </c>
      <c r="Z99" s="60">
        <f t="shared" si="24"/>
        <v>-450</v>
      </c>
      <c r="AA99" s="60">
        <f t="shared" si="24"/>
        <v>-477</v>
      </c>
      <c r="AB99" s="60">
        <f t="shared" si="24"/>
        <v>-503</v>
      </c>
      <c r="AC99" s="60">
        <f t="shared" si="24"/>
        <v>-522</v>
      </c>
      <c r="AD99" s="60">
        <f t="shared" si="24"/>
        <v>-508</v>
      </c>
      <c r="AE99" s="60">
        <f t="shared" si="24"/>
        <v>-530</v>
      </c>
      <c r="AF99" s="60">
        <f t="shared" si="24"/>
        <v>-502</v>
      </c>
      <c r="AG99" s="87"/>
      <c r="AH99" s="47">
        <f t="shared" si="13"/>
        <v>-445</v>
      </c>
      <c r="AI99" s="48">
        <f t="shared" si="14"/>
        <v>-585.79999999999995</v>
      </c>
      <c r="AK99" s="50"/>
    </row>
    <row r="100" spans="1:37" ht="15.75" thickBot="1" x14ac:dyDescent="0.3">
      <c r="A100" s="73" t="s">
        <v>108</v>
      </c>
      <c r="B100" s="60">
        <f t="shared" ref="B100:S100" si="25">B84-B99</f>
        <v>526</v>
      </c>
      <c r="C100" s="60">
        <f t="shared" si="25"/>
        <v>527</v>
      </c>
      <c r="D100" s="60">
        <f t="shared" si="25"/>
        <v>569</v>
      </c>
      <c r="E100" s="60">
        <f t="shared" si="25"/>
        <v>575.29999999999995</v>
      </c>
      <c r="F100" s="60">
        <f t="shared" si="25"/>
        <v>568</v>
      </c>
      <c r="G100" s="60">
        <f t="shared" si="25"/>
        <v>568</v>
      </c>
      <c r="H100" s="60">
        <f t="shared" si="25"/>
        <v>576.4</v>
      </c>
      <c r="I100" s="60">
        <f t="shared" si="25"/>
        <v>568</v>
      </c>
      <c r="J100" s="60">
        <f t="shared" si="25"/>
        <v>564.9</v>
      </c>
      <c r="K100" s="60">
        <f t="shared" si="25"/>
        <v>585.79999999999995</v>
      </c>
      <c r="L100" s="60">
        <f t="shared" si="25"/>
        <v>554</v>
      </c>
      <c r="M100" s="60">
        <f t="shared" si="25"/>
        <v>555.5</v>
      </c>
      <c r="N100" s="60">
        <f t="shared" si="25"/>
        <v>568</v>
      </c>
      <c r="O100" s="60">
        <f t="shared" si="25"/>
        <v>531</v>
      </c>
      <c r="P100" s="60">
        <f t="shared" si="25"/>
        <v>534.70000000000005</v>
      </c>
      <c r="Q100" s="60">
        <f t="shared" si="25"/>
        <v>534.79999999999995</v>
      </c>
      <c r="R100" s="60">
        <f t="shared" si="25"/>
        <v>580</v>
      </c>
      <c r="S100" s="60">
        <f t="shared" si="25"/>
        <v>565</v>
      </c>
      <c r="T100" s="60">
        <f t="shared" ref="T100:AF100" si="26">T84-T99</f>
        <v>566</v>
      </c>
      <c r="U100" s="60">
        <f t="shared" si="26"/>
        <v>522</v>
      </c>
      <c r="V100" s="60">
        <f t="shared" si="26"/>
        <v>565</v>
      </c>
      <c r="W100" s="60">
        <f t="shared" si="26"/>
        <v>548</v>
      </c>
      <c r="X100" s="60">
        <f t="shared" si="26"/>
        <v>500</v>
      </c>
      <c r="Y100" s="60">
        <f t="shared" si="26"/>
        <v>445</v>
      </c>
      <c r="Z100" s="60">
        <f t="shared" si="26"/>
        <v>450</v>
      </c>
      <c r="AA100" s="60">
        <f t="shared" si="26"/>
        <v>477</v>
      </c>
      <c r="AB100" s="60">
        <f>AB84-AB99</f>
        <v>503</v>
      </c>
      <c r="AC100" s="60">
        <f t="shared" si="26"/>
        <v>522</v>
      </c>
      <c r="AD100" s="60">
        <f t="shared" si="26"/>
        <v>508</v>
      </c>
      <c r="AE100" s="60">
        <f t="shared" si="26"/>
        <v>530</v>
      </c>
      <c r="AF100" s="60">
        <f t="shared" si="26"/>
        <v>502</v>
      </c>
      <c r="AG100" s="87"/>
      <c r="AH100" s="47">
        <f t="shared" si="13"/>
        <v>585.79999999999995</v>
      </c>
      <c r="AI100" s="48">
        <f t="shared" si="14"/>
        <v>445</v>
      </c>
    </row>
    <row r="101" spans="1:37" x14ac:dyDescent="0.25">
      <c r="A101" s="99" t="s">
        <v>109</v>
      </c>
      <c r="B101" s="100">
        <v>50.094000000000001</v>
      </c>
      <c r="C101" s="100">
        <v>49.933</v>
      </c>
      <c r="D101" s="100">
        <v>49.933</v>
      </c>
      <c r="E101" s="100">
        <v>50.01</v>
      </c>
      <c r="F101" s="100">
        <v>50.052999999999997</v>
      </c>
      <c r="G101" s="100">
        <v>50</v>
      </c>
      <c r="H101" s="100">
        <v>49.978000000000002</v>
      </c>
      <c r="I101" s="100">
        <v>49.96</v>
      </c>
      <c r="J101" s="100">
        <v>50.012999999999998</v>
      </c>
      <c r="K101" s="100">
        <v>49.98</v>
      </c>
      <c r="L101" s="100">
        <v>50.012</v>
      </c>
      <c r="M101" s="100">
        <v>50.006999999999998</v>
      </c>
      <c r="N101" s="100">
        <v>49.968000000000004</v>
      </c>
      <c r="O101" s="100">
        <v>50</v>
      </c>
      <c r="P101" s="100">
        <v>49.982999999999997</v>
      </c>
      <c r="Q101" s="100">
        <v>49.954999999999998</v>
      </c>
      <c r="R101" s="100">
        <v>49.95</v>
      </c>
      <c r="S101" s="100">
        <v>49.95</v>
      </c>
      <c r="T101" s="100">
        <v>49.95</v>
      </c>
      <c r="U101" s="100">
        <v>49.95</v>
      </c>
      <c r="V101" s="100">
        <v>49.88</v>
      </c>
      <c r="W101" s="100">
        <v>49.947000000000003</v>
      </c>
      <c r="X101" s="100">
        <v>50</v>
      </c>
      <c r="Y101" s="100">
        <v>49.93</v>
      </c>
      <c r="Z101" s="100">
        <v>50.06</v>
      </c>
      <c r="AA101" s="100">
        <v>50.01</v>
      </c>
      <c r="AB101" s="100">
        <v>50.01</v>
      </c>
      <c r="AC101" s="100">
        <v>50.01</v>
      </c>
      <c r="AD101" s="100">
        <v>50.027000000000001</v>
      </c>
      <c r="AE101" s="100">
        <v>50.030999999999999</v>
      </c>
      <c r="AF101" s="100">
        <v>50.023000000000003</v>
      </c>
      <c r="AG101" s="101"/>
      <c r="AH101" s="47">
        <f t="shared" si="13"/>
        <v>50.094000000000001</v>
      </c>
      <c r="AI101" s="48">
        <f t="shared" si="14"/>
        <v>49.88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3"/>
        <v>0</v>
      </c>
      <c r="AI102" s="48">
        <f t="shared" si="14"/>
        <v>0</v>
      </c>
    </row>
    <row r="103" spans="1:37" x14ac:dyDescent="0.25">
      <c r="A103" s="102" t="s">
        <v>111</v>
      </c>
      <c r="B103" s="64">
        <v>129.5</v>
      </c>
      <c r="C103" s="64">
        <v>128.9</v>
      </c>
      <c r="D103" s="64">
        <v>128.9</v>
      </c>
      <c r="E103" s="64">
        <v>131.9</v>
      </c>
      <c r="F103" s="64">
        <v>131.30000000000001</v>
      </c>
      <c r="G103" s="64">
        <v>131.30000000000001</v>
      </c>
      <c r="H103" s="64">
        <v>130.4</v>
      </c>
      <c r="I103" s="64">
        <v>130.4</v>
      </c>
      <c r="J103" s="64">
        <v>129.30000000000001</v>
      </c>
      <c r="K103" s="64">
        <v>126.6</v>
      </c>
      <c r="L103" s="64">
        <v>126.1</v>
      </c>
      <c r="M103" s="64">
        <v>125.9</v>
      </c>
      <c r="N103" s="64">
        <v>124.3</v>
      </c>
      <c r="O103" s="64">
        <v>125</v>
      </c>
      <c r="P103" s="64">
        <v>125.9</v>
      </c>
      <c r="Q103" s="64">
        <v>126.7</v>
      </c>
      <c r="R103" s="64">
        <v>125.7</v>
      </c>
      <c r="S103" s="64">
        <v>127</v>
      </c>
      <c r="T103" s="64">
        <v>127</v>
      </c>
      <c r="U103" s="64">
        <v>127</v>
      </c>
      <c r="V103" s="64">
        <v>127</v>
      </c>
      <c r="W103" s="64">
        <v>127</v>
      </c>
      <c r="X103" s="64">
        <v>128</v>
      </c>
      <c r="Y103" s="64">
        <v>128</v>
      </c>
      <c r="Z103" s="64">
        <v>128</v>
      </c>
      <c r="AA103" s="64">
        <v>127</v>
      </c>
      <c r="AB103" s="64">
        <v>127</v>
      </c>
      <c r="AC103" s="64">
        <v>127</v>
      </c>
      <c r="AD103" s="64">
        <v>128.9</v>
      </c>
      <c r="AE103" s="64">
        <v>130</v>
      </c>
      <c r="AF103" s="64">
        <v>129.80000000000001</v>
      </c>
      <c r="AG103" s="103"/>
      <c r="AH103" s="47">
        <f t="shared" si="13"/>
        <v>131.9</v>
      </c>
      <c r="AI103" s="48">
        <f t="shared" si="14"/>
        <v>124.3</v>
      </c>
    </row>
    <row r="104" spans="1:37" x14ac:dyDescent="0.25">
      <c r="A104" s="102" t="s">
        <v>112</v>
      </c>
      <c r="B104" s="64">
        <v>129.4</v>
      </c>
      <c r="C104" s="64">
        <v>130.4</v>
      </c>
      <c r="D104" s="64">
        <v>130.4</v>
      </c>
      <c r="E104" s="64">
        <v>130.80000000000001</v>
      </c>
      <c r="F104" s="64">
        <v>131.19999999999999</v>
      </c>
      <c r="G104" s="64">
        <v>131.19999999999999</v>
      </c>
      <c r="H104" s="64">
        <v>129.80000000000001</v>
      </c>
      <c r="I104" s="64">
        <v>129.80000000000001</v>
      </c>
      <c r="J104" s="64">
        <v>128.1</v>
      </c>
      <c r="K104" s="64">
        <v>130</v>
      </c>
      <c r="L104" s="64">
        <v>127.4</v>
      </c>
      <c r="M104" s="64">
        <v>128.6</v>
      </c>
      <c r="N104" s="64">
        <v>127.2</v>
      </c>
      <c r="O104" s="64">
        <v>128.80000000000001</v>
      </c>
      <c r="P104" s="64">
        <v>128.30000000000001</v>
      </c>
      <c r="Q104" s="64">
        <v>130.1</v>
      </c>
      <c r="R104" s="64">
        <v>129</v>
      </c>
      <c r="S104" s="64">
        <v>127</v>
      </c>
      <c r="T104" s="64">
        <v>127</v>
      </c>
      <c r="U104" s="64">
        <v>127</v>
      </c>
      <c r="V104" s="64">
        <v>128</v>
      </c>
      <c r="W104" s="64">
        <v>128</v>
      </c>
      <c r="X104" s="64">
        <v>130</v>
      </c>
      <c r="Y104" s="64">
        <v>127</v>
      </c>
      <c r="Z104" s="64">
        <v>127</v>
      </c>
      <c r="AA104" s="64">
        <v>127.6</v>
      </c>
      <c r="AB104" s="64">
        <v>127.6</v>
      </c>
      <c r="AC104" s="64">
        <v>127.6</v>
      </c>
      <c r="AD104" s="64">
        <v>127.7</v>
      </c>
      <c r="AE104" s="64">
        <v>129.30000000000001</v>
      </c>
      <c r="AF104" s="64">
        <v>130</v>
      </c>
      <c r="AG104" s="103"/>
      <c r="AH104" s="47">
        <f t="shared" si="13"/>
        <v>131.19999999999999</v>
      </c>
      <c r="AI104" s="48">
        <f t="shared" si="14"/>
        <v>127</v>
      </c>
    </row>
    <row r="105" spans="1:37" x14ac:dyDescent="0.25">
      <c r="A105" s="104" t="s">
        <v>113</v>
      </c>
      <c r="B105" s="64">
        <v>131.69999999999999</v>
      </c>
      <c r="C105" s="64">
        <v>132.5</v>
      </c>
      <c r="D105" s="64">
        <v>132.5</v>
      </c>
      <c r="E105" s="64">
        <v>133.30000000000001</v>
      </c>
      <c r="F105" s="64">
        <v>134.30000000000001</v>
      </c>
      <c r="G105" s="64">
        <v>134.30000000000001</v>
      </c>
      <c r="H105" s="64">
        <v>132.30000000000001</v>
      </c>
      <c r="I105" s="64">
        <v>132.30000000000001</v>
      </c>
      <c r="J105" s="64">
        <v>131.80000000000001</v>
      </c>
      <c r="K105" s="64">
        <v>135.6</v>
      </c>
      <c r="L105" s="64">
        <v>132.30000000000001</v>
      </c>
      <c r="M105" s="64">
        <v>132.1</v>
      </c>
      <c r="N105" s="64">
        <v>130.80000000000001</v>
      </c>
      <c r="O105" s="64">
        <v>133.1</v>
      </c>
      <c r="P105" s="64">
        <v>131.5</v>
      </c>
      <c r="Q105" s="64">
        <v>133.1</v>
      </c>
      <c r="R105" s="64">
        <v>132.5</v>
      </c>
      <c r="S105" s="64">
        <v>130.6</v>
      </c>
      <c r="T105" s="64">
        <v>130.6</v>
      </c>
      <c r="U105" s="64">
        <v>130.6</v>
      </c>
      <c r="V105" s="64">
        <v>131</v>
      </c>
      <c r="W105" s="64">
        <v>131</v>
      </c>
      <c r="X105" s="64">
        <v>131.69999999999999</v>
      </c>
      <c r="Y105" s="64">
        <v>129</v>
      </c>
      <c r="Z105" s="64">
        <v>129</v>
      </c>
      <c r="AA105" s="64">
        <v>131</v>
      </c>
      <c r="AB105" s="64">
        <v>131</v>
      </c>
      <c r="AC105" s="64">
        <v>131</v>
      </c>
      <c r="AD105" s="64">
        <v>130.80000000000001</v>
      </c>
      <c r="AE105" s="64">
        <v>132.19999999999999</v>
      </c>
      <c r="AF105" s="64">
        <v>133.5</v>
      </c>
      <c r="AG105" s="103"/>
      <c r="AH105" s="47">
        <f t="shared" si="13"/>
        <v>135.6</v>
      </c>
      <c r="AI105" s="48">
        <f t="shared" si="14"/>
        <v>129</v>
      </c>
    </row>
    <row r="106" spans="1:37" x14ac:dyDescent="0.25">
      <c r="A106" s="104" t="s">
        <v>114</v>
      </c>
      <c r="B106" s="105">
        <v>134.4</v>
      </c>
      <c r="C106" s="105">
        <v>131.4</v>
      </c>
      <c r="D106" s="105">
        <v>131.4</v>
      </c>
      <c r="E106" s="105">
        <v>133.5</v>
      </c>
      <c r="F106" s="105">
        <v>136.6</v>
      </c>
      <c r="G106" s="105">
        <v>136.6</v>
      </c>
      <c r="H106" s="105">
        <v>135.4</v>
      </c>
      <c r="I106" s="105">
        <v>135.4</v>
      </c>
      <c r="J106" s="105">
        <v>131.19999999999999</v>
      </c>
      <c r="K106" s="105">
        <v>133</v>
      </c>
      <c r="L106" s="105">
        <v>133</v>
      </c>
      <c r="M106" s="105">
        <v>133</v>
      </c>
      <c r="N106" s="105">
        <v>129</v>
      </c>
      <c r="O106" s="105">
        <v>133.80000000000001</v>
      </c>
      <c r="P106" s="105">
        <v>132.9</v>
      </c>
      <c r="Q106" s="105">
        <v>132.30000000000001</v>
      </c>
      <c r="R106" s="105">
        <v>129.6</v>
      </c>
      <c r="S106" s="105">
        <v>130.4</v>
      </c>
      <c r="T106" s="105">
        <v>130.4</v>
      </c>
      <c r="U106" s="105">
        <v>130.4</v>
      </c>
      <c r="V106" s="105">
        <v>132</v>
      </c>
      <c r="W106" s="105">
        <v>132</v>
      </c>
      <c r="X106" s="105">
        <v>135</v>
      </c>
      <c r="Y106" s="105">
        <v>132</v>
      </c>
      <c r="Z106" s="105">
        <v>132</v>
      </c>
      <c r="AA106" s="105">
        <v>131</v>
      </c>
      <c r="AB106" s="105">
        <v>131</v>
      </c>
      <c r="AC106" s="105">
        <v>131</v>
      </c>
      <c r="AD106" s="105">
        <v>134.5</v>
      </c>
      <c r="AE106" s="105">
        <v>133.5</v>
      </c>
      <c r="AF106" s="105">
        <v>133.6</v>
      </c>
      <c r="AG106" s="106"/>
      <c r="AH106" s="47">
        <f t="shared" si="13"/>
        <v>136.6</v>
      </c>
      <c r="AI106" s="48">
        <f t="shared" si="14"/>
        <v>129</v>
      </c>
    </row>
    <row r="107" spans="1:37" x14ac:dyDescent="0.25">
      <c r="A107" s="102" t="s">
        <v>115</v>
      </c>
      <c r="B107" s="64">
        <v>137.5</v>
      </c>
      <c r="C107" s="64">
        <v>134</v>
      </c>
      <c r="D107" s="64">
        <v>134</v>
      </c>
      <c r="E107" s="64">
        <v>131</v>
      </c>
      <c r="F107" s="64">
        <v>137.5</v>
      </c>
      <c r="G107" s="64">
        <v>137.5</v>
      </c>
      <c r="H107" s="64">
        <v>137.80000000000001</v>
      </c>
      <c r="I107" s="64">
        <v>137.80000000000001</v>
      </c>
      <c r="J107" s="64">
        <v>129.9</v>
      </c>
      <c r="K107" s="64">
        <v>132.19999999999999</v>
      </c>
      <c r="L107" s="64">
        <v>132</v>
      </c>
      <c r="M107" s="64">
        <v>129.19999999999999</v>
      </c>
      <c r="N107" s="64">
        <v>126.9</v>
      </c>
      <c r="O107" s="64">
        <v>134.4</v>
      </c>
      <c r="P107" s="64">
        <v>128.80000000000001</v>
      </c>
      <c r="Q107" s="64">
        <v>131.69999999999999</v>
      </c>
      <c r="R107" s="64">
        <v>128.19999999999999</v>
      </c>
      <c r="S107" s="64">
        <v>131</v>
      </c>
      <c r="T107" s="64">
        <v>131</v>
      </c>
      <c r="U107" s="64">
        <v>131</v>
      </c>
      <c r="V107" s="64">
        <v>131</v>
      </c>
      <c r="W107" s="64">
        <v>131</v>
      </c>
      <c r="X107" s="64">
        <v>135</v>
      </c>
      <c r="Y107" s="64">
        <v>127</v>
      </c>
      <c r="Z107" s="64">
        <v>127</v>
      </c>
      <c r="AA107" s="64">
        <v>127.5</v>
      </c>
      <c r="AB107" s="64">
        <v>127.5</v>
      </c>
      <c r="AC107" s="64">
        <v>127.5</v>
      </c>
      <c r="AD107" s="64">
        <v>134.69999999999999</v>
      </c>
      <c r="AE107" s="64">
        <v>132.80000000000001</v>
      </c>
      <c r="AF107" s="64">
        <v>133.5</v>
      </c>
      <c r="AG107" s="103"/>
      <c r="AH107" s="47">
        <f t="shared" si="13"/>
        <v>137.80000000000001</v>
      </c>
      <c r="AI107" s="48">
        <f t="shared" si="14"/>
        <v>126.9</v>
      </c>
    </row>
    <row r="108" spans="1:37" ht="15.75" thickBot="1" x14ac:dyDescent="0.3">
      <c r="A108" s="102" t="s">
        <v>116</v>
      </c>
      <c r="B108" s="91">
        <v>65</v>
      </c>
      <c r="C108" s="91">
        <v>64.8</v>
      </c>
      <c r="D108" s="91">
        <v>64.8</v>
      </c>
      <c r="E108" s="91">
        <v>66.400000000000006</v>
      </c>
      <c r="F108" s="91">
        <v>65.900000000000006</v>
      </c>
      <c r="G108" s="91">
        <v>65.900000000000006</v>
      </c>
      <c r="H108" s="91">
        <v>65.5</v>
      </c>
      <c r="I108" s="91">
        <v>65.5</v>
      </c>
      <c r="J108" s="91">
        <v>65.3</v>
      </c>
      <c r="K108" s="91">
        <v>63.8</v>
      </c>
      <c r="L108" s="91">
        <v>63.5</v>
      </c>
      <c r="M108" s="91">
        <v>63.7</v>
      </c>
      <c r="N108" s="91">
        <v>62.7</v>
      </c>
      <c r="O108" s="91">
        <v>62.6</v>
      </c>
      <c r="P108" s="91">
        <v>63.4</v>
      </c>
      <c r="Q108" s="91">
        <v>63.4</v>
      </c>
      <c r="R108" s="91">
        <v>63.1</v>
      </c>
      <c r="S108" s="91">
        <v>64</v>
      </c>
      <c r="T108" s="91">
        <v>64</v>
      </c>
      <c r="U108" s="91">
        <v>64</v>
      </c>
      <c r="V108" s="91">
        <v>64</v>
      </c>
      <c r="W108" s="91">
        <v>64</v>
      </c>
      <c r="X108" s="91">
        <v>64</v>
      </c>
      <c r="Y108" s="91">
        <v>64</v>
      </c>
      <c r="Z108" s="91">
        <v>64</v>
      </c>
      <c r="AA108" s="91">
        <v>64</v>
      </c>
      <c r="AB108" s="91">
        <v>64</v>
      </c>
      <c r="AC108" s="91">
        <v>64</v>
      </c>
      <c r="AD108" s="91">
        <v>65</v>
      </c>
      <c r="AE108" s="91">
        <v>65.3</v>
      </c>
      <c r="AF108" s="91">
        <v>65.3</v>
      </c>
      <c r="AG108" s="107"/>
      <c r="AH108" s="47">
        <f t="shared" si="13"/>
        <v>66.400000000000006</v>
      </c>
      <c r="AI108" s="48">
        <f t="shared" si="14"/>
        <v>62.6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3"/>
        <v>0</v>
      </c>
      <c r="AI109" s="48">
        <f t="shared" si="14"/>
        <v>0</v>
      </c>
    </row>
    <row r="110" spans="1:37" ht="15.75" thickBot="1" x14ac:dyDescent="0.3">
      <c r="A110" s="109" t="s">
        <v>118</v>
      </c>
      <c r="B110" s="110">
        <f t="shared" ref="B110:O110" si="27">SUM(B20,B26,B29:B30,B58,B60:B61,B63,B65,B111:B115,B138,B144,B150,B159,B161,B173,B180,B183:B184,B191,B193,B195,B199:B201,B203:B205,B210,B216:B217,B219:B221,B229,B234)</f>
        <v>56.600000000000023</v>
      </c>
      <c r="C110" s="110">
        <f t="shared" si="27"/>
        <v>44.839999999999996</v>
      </c>
      <c r="D110" s="110">
        <f t="shared" si="27"/>
        <v>55.039999999999985</v>
      </c>
      <c r="E110" s="110">
        <f t="shared" si="27"/>
        <v>45.14</v>
      </c>
      <c r="F110" s="110">
        <f t="shared" si="27"/>
        <v>49.44</v>
      </c>
      <c r="G110" s="110">
        <f t="shared" si="27"/>
        <v>55.740000000000009</v>
      </c>
      <c r="H110" s="110">
        <f t="shared" si="27"/>
        <v>91.54000000000002</v>
      </c>
      <c r="I110" s="110">
        <f t="shared" si="27"/>
        <v>91.54000000000002</v>
      </c>
      <c r="J110" s="110">
        <f t="shared" si="27"/>
        <v>154.13999999999996</v>
      </c>
      <c r="K110" s="110">
        <f t="shared" si="27"/>
        <v>191.83999999999997</v>
      </c>
      <c r="L110" s="110">
        <f>SUM(L20,L26,L29:L30,L58,L60:L61,L63,L65,L111:L115,L138,L144,L150,L159,L161,L173,L180,L183:L184,L191,L193,L195,L199:L201,L203:L205,L210,L216:L217,L219:L221,L229,L234)</f>
        <v>216.43999999999994</v>
      </c>
      <c r="M110" s="110">
        <f>SUM(M20,M26,M29:M30,M58,M60:M61,M63,M65,M111:M115,M138,M144,M150,M159,M161,M173,M180,M183:M184,M191,M193,M195,M199:M201,M203:M205,M210,M216:M217,M219:M221,M229,M234)</f>
        <v>137.23999999999995</v>
      </c>
      <c r="N110" s="110">
        <f t="shared" si="27"/>
        <v>201.13999999999996</v>
      </c>
      <c r="O110" s="110">
        <f t="shared" si="27"/>
        <v>210.04</v>
      </c>
      <c r="P110" s="110">
        <v>42</v>
      </c>
      <c r="Q110" s="110">
        <f t="shared" ref="Q110:AF110" si="28">SUM(Q20,Q26,Q29:Q30,Q58,Q60:Q61,Q63,Q65,Q111:Q115,Q138,Q144,Q150,Q159,Q161,Q173,Q180,Q183:Q184,Q191,Q193,Q195,Q199:Q201,Q203:Q205,Q210,Q216:Q217,Q219:Q221,Q229,Q234)</f>
        <v>209.00000000000003</v>
      </c>
      <c r="R110" s="110">
        <f t="shared" si="28"/>
        <v>187.40000000000009</v>
      </c>
      <c r="S110" s="110">
        <f t="shared" si="28"/>
        <v>189.40000000000003</v>
      </c>
      <c r="T110" s="110">
        <f>SUM(T20,T26,T29:T30,T58,T60:T61,T63,T65,T111:T115,T138,T144,T150,T159,T161,T173,T180,T183:T184,T191,T193,T195,T199:T201,T203:T205,T210,T216:T217,T219:T221,T229,T234)</f>
        <v>189.40000000000003</v>
      </c>
      <c r="U110" s="110">
        <f>SUM(U20,U26,U29:U30,U58,U60:U61,U63,U65,U111:U115,U138,U144,U150,U159,U161,U173,U180,U183:U184,U191,U193,U195,U199:U201,U203:U205,U210,U216:U217,U219:U221,U229,U234)</f>
        <v>204.90000000000003</v>
      </c>
      <c r="V110" s="110">
        <f t="shared" si="28"/>
        <v>205</v>
      </c>
      <c r="W110" s="110">
        <f t="shared" si="28"/>
        <v>186.2</v>
      </c>
      <c r="X110" s="110">
        <f t="shared" si="28"/>
        <v>242.2</v>
      </c>
      <c r="Y110" s="110">
        <f t="shared" si="28"/>
        <v>328.5</v>
      </c>
      <c r="Z110" s="110">
        <f t="shared" si="28"/>
        <v>265.5</v>
      </c>
      <c r="AA110" s="110">
        <f t="shared" si="28"/>
        <v>239.9</v>
      </c>
      <c r="AB110" s="110">
        <f t="shared" si="28"/>
        <v>179.99999999999997</v>
      </c>
      <c r="AC110" s="110">
        <f t="shared" si="28"/>
        <v>174.99999999999997</v>
      </c>
      <c r="AD110" s="110">
        <f t="shared" si="28"/>
        <v>141.29999999999998</v>
      </c>
      <c r="AE110" s="110">
        <f t="shared" si="28"/>
        <v>81.099999999999994</v>
      </c>
      <c r="AF110" s="110">
        <f t="shared" si="28"/>
        <v>50.300000000000011</v>
      </c>
      <c r="AG110" s="111"/>
      <c r="AH110" s="47">
        <f t="shared" si="13"/>
        <v>328.5</v>
      </c>
      <c r="AI110" s="48">
        <f t="shared" si="14"/>
        <v>42</v>
      </c>
    </row>
    <row r="111" spans="1:37" x14ac:dyDescent="0.25">
      <c r="A111" s="99" t="s">
        <v>119</v>
      </c>
      <c r="B111" s="112">
        <v>33.4</v>
      </c>
      <c r="C111" s="112">
        <v>33.200000000000003</v>
      </c>
      <c r="D111" s="112">
        <v>33.200000000000003</v>
      </c>
      <c r="E111" s="112">
        <v>30.4</v>
      </c>
      <c r="F111" s="112">
        <v>35</v>
      </c>
      <c r="G111" s="112">
        <v>35</v>
      </c>
      <c r="H111" s="112">
        <v>46.7</v>
      </c>
      <c r="I111" s="112">
        <v>46.7</v>
      </c>
      <c r="J111" s="112">
        <v>35.299999999999997</v>
      </c>
      <c r="K111" s="112">
        <v>48.6</v>
      </c>
      <c r="L111" s="112">
        <v>50</v>
      </c>
      <c r="M111" s="112">
        <v>51.1</v>
      </c>
      <c r="N111" s="112">
        <v>52.6</v>
      </c>
      <c r="O111" s="112">
        <v>53.2</v>
      </c>
      <c r="P111" s="112">
        <v>56.2</v>
      </c>
      <c r="Q111" s="112">
        <v>51.1</v>
      </c>
      <c r="R111" s="112">
        <v>51.4</v>
      </c>
      <c r="S111" s="112">
        <v>50</v>
      </c>
      <c r="T111" s="112">
        <v>50</v>
      </c>
      <c r="U111" s="112">
        <v>48</v>
      </c>
      <c r="V111" s="112">
        <v>51</v>
      </c>
      <c r="W111" s="112">
        <v>47</v>
      </c>
      <c r="X111" s="112">
        <v>53</v>
      </c>
      <c r="Y111" s="112">
        <v>50</v>
      </c>
      <c r="Z111" s="112">
        <v>50</v>
      </c>
      <c r="AA111" s="112">
        <v>52</v>
      </c>
      <c r="AB111" s="112">
        <v>48.4</v>
      </c>
      <c r="AC111" s="112">
        <v>48.4</v>
      </c>
      <c r="AD111" s="112">
        <v>35.4</v>
      </c>
      <c r="AE111" s="112">
        <v>28</v>
      </c>
      <c r="AF111" s="112">
        <v>26.3</v>
      </c>
      <c r="AG111" s="113">
        <v>75</v>
      </c>
      <c r="AH111" s="47">
        <f t="shared" si="13"/>
        <v>56.2</v>
      </c>
      <c r="AI111" s="48">
        <f t="shared" si="14"/>
        <v>26.3</v>
      </c>
    </row>
    <row r="112" spans="1:37" x14ac:dyDescent="0.25">
      <c r="A112" s="102" t="s">
        <v>120</v>
      </c>
      <c r="B112" s="114">
        <v>51.2</v>
      </c>
      <c r="C112" s="114">
        <v>54.2</v>
      </c>
      <c r="D112" s="114">
        <v>54.2</v>
      </c>
      <c r="E112" s="114">
        <v>46.8</v>
      </c>
      <c r="F112" s="114">
        <v>53.7</v>
      </c>
      <c r="G112" s="114">
        <v>53.7</v>
      </c>
      <c r="H112" s="114">
        <v>68.400000000000006</v>
      </c>
      <c r="I112" s="114">
        <v>68.400000000000006</v>
      </c>
      <c r="J112" s="114">
        <v>53.4</v>
      </c>
      <c r="K112" s="114">
        <v>69.900000000000006</v>
      </c>
      <c r="L112" s="114">
        <v>71.099999999999994</v>
      </c>
      <c r="M112" s="114" t="s">
        <v>296</v>
      </c>
      <c r="N112" s="114">
        <v>75.8</v>
      </c>
      <c r="O112" s="114">
        <v>76</v>
      </c>
      <c r="P112" s="114">
        <v>80.400000000000006</v>
      </c>
      <c r="Q112" s="114">
        <v>70.3</v>
      </c>
      <c r="R112" s="114">
        <v>73.5</v>
      </c>
      <c r="S112" s="114">
        <v>71</v>
      </c>
      <c r="T112" s="114">
        <v>71</v>
      </c>
      <c r="U112" s="114">
        <v>67</v>
      </c>
      <c r="V112" s="114">
        <v>73</v>
      </c>
      <c r="W112" s="114">
        <v>65</v>
      </c>
      <c r="X112" s="114">
        <v>75</v>
      </c>
      <c r="Y112" s="114">
        <v>69</v>
      </c>
      <c r="Z112" s="114">
        <v>72</v>
      </c>
      <c r="AA112" s="114">
        <v>73</v>
      </c>
      <c r="AB112" s="114">
        <v>69.400000000000006</v>
      </c>
      <c r="AC112" s="114">
        <v>69.400000000000006</v>
      </c>
      <c r="AD112" s="114">
        <v>49.1</v>
      </c>
      <c r="AE112" s="114">
        <v>40</v>
      </c>
      <c r="AF112" s="114">
        <v>39.4</v>
      </c>
      <c r="AG112" s="113">
        <v>240</v>
      </c>
      <c r="AH112" s="47">
        <f t="shared" si="13"/>
        <v>80.400000000000006</v>
      </c>
      <c r="AI112" s="48">
        <f t="shared" si="14"/>
        <v>39.4</v>
      </c>
    </row>
    <row r="113" spans="1:37" x14ac:dyDescent="0.25">
      <c r="A113" s="102" t="s">
        <v>121</v>
      </c>
      <c r="B113" s="114">
        <v>-184</v>
      </c>
      <c r="C113" s="114">
        <v>-184</v>
      </c>
      <c r="D113" s="114">
        <v>-184</v>
      </c>
      <c r="E113" s="114">
        <v>-176</v>
      </c>
      <c r="F113" s="114">
        <v>-180.8</v>
      </c>
      <c r="G113" s="114">
        <v>-180.8</v>
      </c>
      <c r="H113" s="114">
        <v>-175</v>
      </c>
      <c r="I113" s="114">
        <v>-175</v>
      </c>
      <c r="J113" s="114">
        <v>-111</v>
      </c>
      <c r="K113" s="114">
        <v>-114</v>
      </c>
      <c r="L113" s="114">
        <v>-96</v>
      </c>
      <c r="M113" s="114">
        <f>-53-57</f>
        <v>-110</v>
      </c>
      <c r="N113" s="114">
        <f>-60-63</f>
        <v>-123</v>
      </c>
      <c r="O113" s="114">
        <f>-55-58</f>
        <v>-113</v>
      </c>
      <c r="P113" s="114">
        <f>-57-60</f>
        <v>-117</v>
      </c>
      <c r="Q113" s="114">
        <f>-50-52.1</f>
        <v>-102.1</v>
      </c>
      <c r="R113" s="114">
        <f>-60-63.2</f>
        <v>-123.2</v>
      </c>
      <c r="S113" s="114">
        <v>-120</v>
      </c>
      <c r="T113" s="114">
        <v>-120</v>
      </c>
      <c r="U113" s="114">
        <v>-105</v>
      </c>
      <c r="V113" s="114">
        <v>-116</v>
      </c>
      <c r="W113" s="114">
        <v>-100</v>
      </c>
      <c r="X113" s="114">
        <v>-108</v>
      </c>
      <c r="Y113" s="114">
        <v>-49</v>
      </c>
      <c r="Z113" s="114">
        <v>-114</v>
      </c>
      <c r="AA113" s="114">
        <v>-120</v>
      </c>
      <c r="AB113" s="114">
        <v>-172</v>
      </c>
      <c r="AC113" s="114">
        <v>-172</v>
      </c>
      <c r="AD113" s="114">
        <v>-152</v>
      </c>
      <c r="AE113" s="114">
        <v>-160</v>
      </c>
      <c r="AF113" s="114">
        <v>-160</v>
      </c>
      <c r="AG113" s="113">
        <v>240</v>
      </c>
      <c r="AH113" s="47">
        <f t="shared" si="13"/>
        <v>-49</v>
      </c>
      <c r="AI113" s="48">
        <f t="shared" si="14"/>
        <v>-184</v>
      </c>
    </row>
    <row r="114" spans="1:37" x14ac:dyDescent="0.25">
      <c r="A114" s="102" t="s">
        <v>122</v>
      </c>
      <c r="B114" s="114">
        <v>-14</v>
      </c>
      <c r="C114" s="114">
        <v>-15.1</v>
      </c>
      <c r="D114" s="114">
        <v>-15.1</v>
      </c>
      <c r="E114" s="114">
        <v>-14.8</v>
      </c>
      <c r="F114" s="114">
        <v>-17</v>
      </c>
      <c r="G114" s="114">
        <v>-17</v>
      </c>
      <c r="H114" s="114">
        <v>-15</v>
      </c>
      <c r="I114" s="114">
        <v>-15</v>
      </c>
      <c r="J114" s="114">
        <v>1.9</v>
      </c>
      <c r="K114" s="114">
        <v>0.5</v>
      </c>
      <c r="L114" s="114">
        <v>3.2</v>
      </c>
      <c r="M114" s="114">
        <v>1.2</v>
      </c>
      <c r="N114" s="114">
        <v>0.6</v>
      </c>
      <c r="O114" s="114">
        <v>-1.4</v>
      </c>
      <c r="P114" s="114">
        <v>-1.9</v>
      </c>
      <c r="Q114" s="114">
        <v>-5.2</v>
      </c>
      <c r="R114" s="114">
        <v>-2.7</v>
      </c>
      <c r="S114" s="114">
        <v>0</v>
      </c>
      <c r="T114" s="114">
        <v>0</v>
      </c>
      <c r="U114" s="114">
        <v>6.5</v>
      </c>
      <c r="V114" s="114">
        <v>6</v>
      </c>
      <c r="W114" s="114">
        <v>8</v>
      </c>
      <c r="X114" s="114">
        <v>8</v>
      </c>
      <c r="Y114" s="114">
        <v>31</v>
      </c>
      <c r="Z114" s="114">
        <v>28</v>
      </c>
      <c r="AA114" s="114">
        <v>6</v>
      </c>
      <c r="AB114" s="114">
        <v>4.5</v>
      </c>
      <c r="AC114" s="114">
        <v>4.5</v>
      </c>
      <c r="AD114" s="114">
        <v>-2.4</v>
      </c>
      <c r="AE114" s="114">
        <v>-14.6</v>
      </c>
      <c r="AF114" s="114">
        <v>-15</v>
      </c>
      <c r="AG114" s="113">
        <v>60</v>
      </c>
      <c r="AH114" s="47">
        <f t="shared" si="13"/>
        <v>31</v>
      </c>
      <c r="AI114" s="48">
        <f t="shared" si="14"/>
        <v>-17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33</v>
      </c>
      <c r="Y115" s="116">
        <v>43</v>
      </c>
      <c r="Z115" s="116">
        <v>45</v>
      </c>
      <c r="AA115" s="116">
        <v>44.4</v>
      </c>
      <c r="AB115" s="116">
        <v>45.1</v>
      </c>
      <c r="AC115" s="116">
        <v>45.1</v>
      </c>
      <c r="AD115" s="116">
        <v>46.6</v>
      </c>
      <c r="AE115" s="116">
        <v>28.1</v>
      </c>
      <c r="AF115" s="116">
        <v>0</v>
      </c>
      <c r="AG115" s="117">
        <v>120</v>
      </c>
      <c r="AH115" s="47">
        <f t="shared" si="13"/>
        <v>46.6</v>
      </c>
      <c r="AI115" s="48">
        <f t="shared" si="14"/>
        <v>0</v>
      </c>
    </row>
    <row r="116" spans="1:37" x14ac:dyDescent="0.25">
      <c r="A116" s="115" t="s">
        <v>124</v>
      </c>
      <c r="B116" s="116">
        <v>43.3</v>
      </c>
      <c r="C116" s="116">
        <v>67</v>
      </c>
      <c r="D116" s="116">
        <v>67</v>
      </c>
      <c r="E116" s="116">
        <v>33.200000000000003</v>
      </c>
      <c r="F116" s="116">
        <v>28.9</v>
      </c>
      <c r="G116" s="116">
        <v>28.9</v>
      </c>
      <c r="H116" s="116">
        <v>33.5</v>
      </c>
      <c r="I116" s="116">
        <v>33.5</v>
      </c>
      <c r="J116" s="116">
        <v>22.9</v>
      </c>
      <c r="K116" s="116">
        <v>24.9</v>
      </c>
      <c r="L116" s="116">
        <v>31.3</v>
      </c>
      <c r="M116" s="116">
        <v>26.9</v>
      </c>
      <c r="N116" s="116">
        <v>14</v>
      </c>
      <c r="O116" s="116">
        <v>40</v>
      </c>
      <c r="P116" s="116">
        <v>29.5</v>
      </c>
      <c r="Q116" s="116">
        <v>42.4</v>
      </c>
      <c r="R116" s="116">
        <v>-1.4</v>
      </c>
      <c r="S116" s="116">
        <v>-11</v>
      </c>
      <c r="T116" s="116">
        <v>-11</v>
      </c>
      <c r="U116" s="116">
        <v>20</v>
      </c>
      <c r="V116" s="116">
        <v>0</v>
      </c>
      <c r="W116" s="116">
        <v>7</v>
      </c>
      <c r="X116" s="116">
        <v>7</v>
      </c>
      <c r="Y116" s="116">
        <v>37</v>
      </c>
      <c r="Z116" s="116">
        <v>51</v>
      </c>
      <c r="AA116" s="116">
        <v>23</v>
      </c>
      <c r="AB116" s="116">
        <v>-8.1999999999999993</v>
      </c>
      <c r="AC116" s="116">
        <v>-8.1999999999999993</v>
      </c>
      <c r="AD116" s="116">
        <v>11</v>
      </c>
      <c r="AE116" s="116">
        <v>14.1</v>
      </c>
      <c r="AF116" s="116">
        <v>40.799999999999997</v>
      </c>
      <c r="AG116" s="117"/>
      <c r="AH116" s="47">
        <f t="shared" si="13"/>
        <v>67</v>
      </c>
      <c r="AI116" s="48">
        <f t="shared" si="14"/>
        <v>-11</v>
      </c>
    </row>
    <row r="117" spans="1:37" x14ac:dyDescent="0.25">
      <c r="A117" s="115" t="s">
        <v>125</v>
      </c>
      <c r="B117" s="116">
        <v>23</v>
      </c>
      <c r="C117" s="116">
        <v>20</v>
      </c>
      <c r="D117" s="116">
        <v>20</v>
      </c>
      <c r="E117" s="116">
        <v>18.899999999999999</v>
      </c>
      <c r="F117" s="116">
        <v>11.6</v>
      </c>
      <c r="G117" s="116">
        <v>11.6</v>
      </c>
      <c r="H117" s="116">
        <v>6.7</v>
      </c>
      <c r="I117" s="116">
        <v>6.7</v>
      </c>
      <c r="J117" s="116">
        <v>-11.4</v>
      </c>
      <c r="K117" s="116">
        <v>-7.9</v>
      </c>
      <c r="L117" s="116">
        <v>-9.6</v>
      </c>
      <c r="M117" s="116">
        <v>-14.2</v>
      </c>
      <c r="N117" s="116">
        <v>-17.399999999999999</v>
      </c>
      <c r="O117" s="116">
        <v>-22.6</v>
      </c>
      <c r="P117" s="116">
        <v>-29.2</v>
      </c>
      <c r="Q117" s="116">
        <v>94.5</v>
      </c>
      <c r="R117" s="116">
        <v>-24.5</v>
      </c>
      <c r="S117" s="116">
        <v>-21</v>
      </c>
      <c r="T117" s="116">
        <v>-21</v>
      </c>
      <c r="U117" s="116">
        <v>-11</v>
      </c>
      <c r="V117" s="116">
        <v>-15</v>
      </c>
      <c r="W117" s="116">
        <v>-19</v>
      </c>
      <c r="X117" s="116">
        <v>-18</v>
      </c>
      <c r="Y117" s="116">
        <v>12</v>
      </c>
      <c r="Z117" s="116">
        <v>-12</v>
      </c>
      <c r="AA117" s="116">
        <v>-18.3</v>
      </c>
      <c r="AB117" s="116">
        <v>17.600000000000001</v>
      </c>
      <c r="AC117" s="116">
        <v>17.600000000000001</v>
      </c>
      <c r="AD117" s="116">
        <v>-7.6</v>
      </c>
      <c r="AE117" s="116">
        <v>-3.3</v>
      </c>
      <c r="AF117" s="116">
        <v>-4</v>
      </c>
      <c r="AG117" s="118"/>
      <c r="AH117" s="47">
        <f t="shared" si="13"/>
        <v>94.5</v>
      </c>
      <c r="AI117" s="48">
        <f t="shared" si="14"/>
        <v>-29.2</v>
      </c>
    </row>
    <row r="118" spans="1:37" x14ac:dyDescent="0.25">
      <c r="A118" s="119" t="s">
        <v>126</v>
      </c>
      <c r="B118" s="105">
        <v>82.6</v>
      </c>
      <c r="C118" s="105">
        <v>81</v>
      </c>
      <c r="D118" s="105">
        <v>81</v>
      </c>
      <c r="E118" s="105">
        <v>83.5</v>
      </c>
      <c r="F118" s="105">
        <v>86.2</v>
      </c>
      <c r="G118" s="105">
        <v>86.2</v>
      </c>
      <c r="H118" s="105">
        <v>81.8</v>
      </c>
      <c r="I118" s="105">
        <v>81.8</v>
      </c>
      <c r="J118" s="105">
        <v>73.7</v>
      </c>
      <c r="K118" s="105">
        <v>92.3</v>
      </c>
      <c r="L118" s="105">
        <v>67</v>
      </c>
      <c r="M118" s="105">
        <v>66</v>
      </c>
      <c r="N118" s="105">
        <v>74.7</v>
      </c>
      <c r="O118" s="105">
        <v>80.400000000000006</v>
      </c>
      <c r="P118" s="105">
        <v>78.900000000000006</v>
      </c>
      <c r="Q118" s="105">
        <v>77</v>
      </c>
      <c r="R118" s="105">
        <v>71.900000000000006</v>
      </c>
      <c r="S118" s="105">
        <v>69</v>
      </c>
      <c r="T118" s="105">
        <v>69</v>
      </c>
      <c r="U118" s="105">
        <v>68</v>
      </c>
      <c r="V118" s="105">
        <v>66</v>
      </c>
      <c r="W118" s="105">
        <v>60</v>
      </c>
      <c r="X118" s="105">
        <v>45</v>
      </c>
      <c r="Y118" s="105">
        <v>46</v>
      </c>
      <c r="Z118" s="105">
        <v>51</v>
      </c>
      <c r="AA118" s="105">
        <v>53.8</v>
      </c>
      <c r="AB118" s="105">
        <v>57.41</v>
      </c>
      <c r="AC118" s="105">
        <v>57.41</v>
      </c>
      <c r="AD118" s="105">
        <v>66.099999999999994</v>
      </c>
      <c r="AE118" s="105">
        <v>70.8</v>
      </c>
      <c r="AF118" s="105">
        <v>75</v>
      </c>
      <c r="AG118" s="118"/>
      <c r="AH118" s="47">
        <f t="shared" si="13"/>
        <v>92.3</v>
      </c>
      <c r="AI118" s="48">
        <f t="shared" si="14"/>
        <v>45</v>
      </c>
    </row>
    <row r="119" spans="1:37" x14ac:dyDescent="0.25">
      <c r="A119" s="120" t="s">
        <v>127</v>
      </c>
      <c r="B119" s="105">
        <v>69</v>
      </c>
      <c r="C119" s="105">
        <v>63</v>
      </c>
      <c r="D119" s="105">
        <v>63</v>
      </c>
      <c r="E119" s="105">
        <v>64.900000000000006</v>
      </c>
      <c r="F119" s="105">
        <v>68.8</v>
      </c>
      <c r="G119" s="105">
        <v>68.8</v>
      </c>
      <c r="H119" s="105">
        <v>68.3</v>
      </c>
      <c r="I119" s="105">
        <v>68.3</v>
      </c>
      <c r="J119" s="105">
        <v>67.8</v>
      </c>
      <c r="K119" s="105">
        <v>68.099999999999994</v>
      </c>
      <c r="L119" s="105">
        <v>66</v>
      </c>
      <c r="M119" s="105">
        <v>73</v>
      </c>
      <c r="N119" s="105">
        <v>79.599999999999994</v>
      </c>
      <c r="O119" s="105">
        <v>69.099999999999994</v>
      </c>
      <c r="P119" s="105">
        <v>73</v>
      </c>
      <c r="Q119" s="105">
        <v>65</v>
      </c>
      <c r="R119" s="105">
        <v>78.599999999999994</v>
      </c>
      <c r="S119" s="105">
        <v>83</v>
      </c>
      <c r="T119" s="105">
        <v>83</v>
      </c>
      <c r="U119" s="105">
        <v>65</v>
      </c>
      <c r="V119" s="105">
        <v>75</v>
      </c>
      <c r="W119" s="105">
        <v>67</v>
      </c>
      <c r="X119" s="105">
        <v>72</v>
      </c>
      <c r="Y119" s="105">
        <v>60</v>
      </c>
      <c r="Z119" s="105">
        <v>66</v>
      </c>
      <c r="AA119" s="105">
        <v>75</v>
      </c>
      <c r="AB119" s="105">
        <v>87.7</v>
      </c>
      <c r="AC119" s="105">
        <v>87.7</v>
      </c>
      <c r="AD119" s="105">
        <v>85.7</v>
      </c>
      <c r="AE119" s="105">
        <v>85</v>
      </c>
      <c r="AF119" s="105">
        <v>83</v>
      </c>
      <c r="AG119" s="118"/>
      <c r="AH119" s="47">
        <f t="shared" si="13"/>
        <v>87.7</v>
      </c>
      <c r="AI119" s="48">
        <f t="shared" si="14"/>
        <v>60</v>
      </c>
    </row>
    <row r="120" spans="1:37" ht="15.75" thickBot="1" x14ac:dyDescent="0.3">
      <c r="A120" s="119" t="s">
        <v>128</v>
      </c>
      <c r="B120" s="105">
        <v>-35</v>
      </c>
      <c r="C120" s="105">
        <v>-44</v>
      </c>
      <c r="D120" s="105">
        <v>-44</v>
      </c>
      <c r="E120" s="105">
        <v>-42.1</v>
      </c>
      <c r="F120" s="105">
        <v>-44.1</v>
      </c>
      <c r="G120" s="105">
        <v>-44.1</v>
      </c>
      <c r="H120" s="105">
        <v>-44.2</v>
      </c>
      <c r="I120" s="105">
        <v>-44.2</v>
      </c>
      <c r="J120" s="105">
        <v>-37.1</v>
      </c>
      <c r="K120" s="105">
        <v>-35.1</v>
      </c>
      <c r="L120" s="105">
        <v>-28.3</v>
      </c>
      <c r="M120" s="105">
        <v>-25.7</v>
      </c>
      <c r="N120" s="105">
        <v>-30</v>
      </c>
      <c r="O120" s="105">
        <v>-30.8</v>
      </c>
      <c r="P120" s="105">
        <v>-29.8</v>
      </c>
      <c r="Q120" s="105">
        <v>-29.3</v>
      </c>
      <c r="R120" s="105">
        <v>-26.1</v>
      </c>
      <c r="S120" s="105">
        <v>-20</v>
      </c>
      <c r="T120" s="105">
        <v>-20</v>
      </c>
      <c r="U120" s="105">
        <v>-14</v>
      </c>
      <c r="V120" s="105">
        <v>-20</v>
      </c>
      <c r="W120" s="105">
        <v>-20</v>
      </c>
      <c r="X120" s="105">
        <v>-7.5</v>
      </c>
      <c r="Y120" s="105">
        <v>4.3</v>
      </c>
      <c r="Z120" s="105">
        <v>0</v>
      </c>
      <c r="AA120" s="105">
        <v>-2</v>
      </c>
      <c r="AB120" s="105">
        <v>-5.3</v>
      </c>
      <c r="AC120" s="105">
        <v>-5.3</v>
      </c>
      <c r="AD120" s="105">
        <v>-11.8</v>
      </c>
      <c r="AE120" s="105">
        <v>-18</v>
      </c>
      <c r="AF120" s="105">
        <v>-21</v>
      </c>
      <c r="AG120" s="118"/>
      <c r="AH120" s="47">
        <f t="shared" si="13"/>
        <v>4.3</v>
      </c>
      <c r="AI120" s="48">
        <f t="shared" si="14"/>
        <v>-44.2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9">SUM(B122:B226)</f>
        <v>0</v>
      </c>
      <c r="C227" s="136">
        <f t="shared" si="29"/>
        <v>0</v>
      </c>
      <c r="D227" s="136">
        <f t="shared" si="29"/>
        <v>0</v>
      </c>
      <c r="E227" s="136">
        <f t="shared" si="29"/>
        <v>0</v>
      </c>
      <c r="F227" s="136">
        <f t="shared" si="29"/>
        <v>0</v>
      </c>
      <c r="G227" s="136">
        <f t="shared" si="29"/>
        <v>0</v>
      </c>
      <c r="H227" s="136">
        <f t="shared" si="29"/>
        <v>0</v>
      </c>
      <c r="I227" s="136">
        <f t="shared" si="29"/>
        <v>0</v>
      </c>
      <c r="J227" s="136">
        <f t="shared" si="29"/>
        <v>0</v>
      </c>
      <c r="K227" s="136">
        <f t="shared" si="29"/>
        <v>0</v>
      </c>
      <c r="L227" s="136">
        <f t="shared" si="29"/>
        <v>0</v>
      </c>
      <c r="M227" s="136">
        <f t="shared" si="29"/>
        <v>0</v>
      </c>
      <c r="N227" s="136">
        <f t="shared" si="29"/>
        <v>0</v>
      </c>
      <c r="O227" s="136">
        <f t="shared" si="29"/>
        <v>0</v>
      </c>
      <c r="P227" s="136">
        <f t="shared" si="29"/>
        <v>0</v>
      </c>
      <c r="Q227" s="136">
        <f t="shared" si="29"/>
        <v>0</v>
      </c>
      <c r="R227" s="136">
        <f t="shared" si="29"/>
        <v>0</v>
      </c>
      <c r="S227" s="136">
        <f t="shared" si="29"/>
        <v>0</v>
      </c>
      <c r="T227" s="136">
        <f t="shared" si="29"/>
        <v>0</v>
      </c>
      <c r="U227" s="136">
        <f t="shared" si="29"/>
        <v>0</v>
      </c>
      <c r="V227" s="136">
        <f t="shared" si="29"/>
        <v>0</v>
      </c>
      <c r="W227" s="136">
        <f t="shared" si="29"/>
        <v>0</v>
      </c>
      <c r="X227" s="136">
        <f t="shared" si="29"/>
        <v>0</v>
      </c>
      <c r="Y227" s="136">
        <f t="shared" si="29"/>
        <v>0</v>
      </c>
      <c r="Z227" s="136">
        <f t="shared" si="29"/>
        <v>0</v>
      </c>
      <c r="AA227" s="136">
        <f t="shared" si="29"/>
        <v>0</v>
      </c>
      <c r="AB227" s="136">
        <f t="shared" si="29"/>
        <v>0</v>
      </c>
      <c r="AC227" s="136">
        <f t="shared" si="29"/>
        <v>0</v>
      </c>
      <c r="AD227" s="136">
        <f t="shared" si="29"/>
        <v>0</v>
      </c>
      <c r="AE227" s="136">
        <f t="shared" si="29"/>
        <v>0</v>
      </c>
      <c r="AF227" s="137">
        <f t="shared" si="29"/>
        <v>0</v>
      </c>
      <c r="AG227" s="138">
        <f t="shared" si="2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30">AF229</f>
        <v>0</v>
      </c>
      <c r="C229" s="140">
        <v>0.3</v>
      </c>
      <c r="D229" s="140">
        <f t="shared" ref="D229:P234" si="31">C229</f>
        <v>0.3</v>
      </c>
      <c r="E229" s="140">
        <f t="shared" si="31"/>
        <v>0.3</v>
      </c>
      <c r="F229" s="140">
        <f t="shared" si="31"/>
        <v>0.3</v>
      </c>
      <c r="G229" s="140">
        <f t="shared" si="31"/>
        <v>0.3</v>
      </c>
      <c r="H229" s="140">
        <f t="shared" si="31"/>
        <v>0.3</v>
      </c>
      <c r="I229" s="140">
        <f t="shared" si="31"/>
        <v>0.3</v>
      </c>
      <c r="J229" s="140">
        <f t="shared" si="31"/>
        <v>0.3</v>
      </c>
      <c r="K229" s="140">
        <f t="shared" si="31"/>
        <v>0.3</v>
      </c>
      <c r="L229" s="140">
        <f t="shared" si="31"/>
        <v>0.3</v>
      </c>
      <c r="M229" s="140">
        <f t="shared" si="31"/>
        <v>0.3</v>
      </c>
      <c r="N229" s="140">
        <f t="shared" si="31"/>
        <v>0.3</v>
      </c>
      <c r="O229" s="140">
        <f t="shared" si="31"/>
        <v>0.3</v>
      </c>
      <c r="P229" s="140">
        <f t="shared" si="3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30"/>
        <v>0</v>
      </c>
      <c r="C230" s="128">
        <v>0.4</v>
      </c>
      <c r="D230" s="128">
        <f t="shared" si="31"/>
        <v>0.4</v>
      </c>
      <c r="E230" s="128">
        <f t="shared" si="31"/>
        <v>0.4</v>
      </c>
      <c r="F230" s="128">
        <f t="shared" si="31"/>
        <v>0.4</v>
      </c>
      <c r="G230" s="128">
        <f t="shared" si="31"/>
        <v>0.4</v>
      </c>
      <c r="H230" s="128">
        <f t="shared" si="31"/>
        <v>0.4</v>
      </c>
      <c r="I230" s="128">
        <f t="shared" si="31"/>
        <v>0.4</v>
      </c>
      <c r="J230" s="128">
        <f t="shared" si="31"/>
        <v>0.4</v>
      </c>
      <c r="K230" s="128">
        <f t="shared" si="31"/>
        <v>0.4</v>
      </c>
      <c r="L230" s="128">
        <f t="shared" si="31"/>
        <v>0.4</v>
      </c>
      <c r="M230" s="128">
        <f t="shared" si="31"/>
        <v>0.4</v>
      </c>
      <c r="N230" s="128">
        <f t="shared" si="31"/>
        <v>0.4</v>
      </c>
      <c r="O230" s="128">
        <f t="shared" si="31"/>
        <v>0.4</v>
      </c>
      <c r="P230" s="128">
        <f t="shared" si="3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30"/>
        <v>0</v>
      </c>
      <c r="C231" s="128">
        <v>1.5</v>
      </c>
      <c r="D231" s="128">
        <f t="shared" si="31"/>
        <v>1.5</v>
      </c>
      <c r="E231" s="128">
        <f t="shared" si="31"/>
        <v>1.5</v>
      </c>
      <c r="F231" s="128">
        <f t="shared" si="31"/>
        <v>1.5</v>
      </c>
      <c r="G231" s="128">
        <f t="shared" si="31"/>
        <v>1.5</v>
      </c>
      <c r="H231" s="128">
        <f t="shared" si="3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1"/>
        <v>123.21900000000009</v>
      </c>
      <c r="K231" s="128">
        <f t="shared" ca="1" si="31"/>
        <v>123.21900000000009</v>
      </c>
      <c r="L231" s="128">
        <f t="shared" ca="1" si="31"/>
        <v>123.21900000000009</v>
      </c>
      <c r="M231" s="128">
        <f t="shared" ca="1" si="31"/>
        <v>119.19900000000008</v>
      </c>
      <c r="N231" s="128">
        <f t="shared" ca="1" si="31"/>
        <v>119.19900000000008</v>
      </c>
      <c r="O231" s="128">
        <f t="shared" ca="1" si="31"/>
        <v>119.19900000000008</v>
      </c>
      <c r="P231" s="128">
        <f t="shared" ca="1" si="3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30"/>
        <v>0</v>
      </c>
      <c r="C232" s="128">
        <v>0.3</v>
      </c>
      <c r="D232" s="128">
        <f t="shared" si="31"/>
        <v>0.3</v>
      </c>
      <c r="E232" s="128">
        <f t="shared" si="31"/>
        <v>0.3</v>
      </c>
      <c r="F232" s="128">
        <f t="shared" si="31"/>
        <v>0.3</v>
      </c>
      <c r="G232" s="128">
        <f t="shared" si="31"/>
        <v>0.3</v>
      </c>
      <c r="H232" s="128">
        <f t="shared" si="31"/>
        <v>0.3</v>
      </c>
      <c r="I232" s="128">
        <f t="shared" si="31"/>
        <v>0.3</v>
      </c>
      <c r="J232" s="128">
        <f t="shared" si="31"/>
        <v>0.3</v>
      </c>
      <c r="K232" s="128">
        <f t="shared" si="31"/>
        <v>0.3</v>
      </c>
      <c r="L232" s="128">
        <f t="shared" si="31"/>
        <v>0.3</v>
      </c>
      <c r="M232" s="128">
        <f t="shared" si="31"/>
        <v>0.3</v>
      </c>
      <c r="N232" s="128">
        <f t="shared" si="31"/>
        <v>0.3</v>
      </c>
      <c r="O232" s="128">
        <f t="shared" si="31"/>
        <v>0.3</v>
      </c>
      <c r="P232" s="128">
        <f t="shared" si="3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30"/>
        <v>0</v>
      </c>
      <c r="C233" s="128">
        <v>0.4</v>
      </c>
      <c r="D233" s="128">
        <f t="shared" si="31"/>
        <v>0.4</v>
      </c>
      <c r="E233" s="128">
        <f t="shared" si="31"/>
        <v>0.4</v>
      </c>
      <c r="F233" s="128">
        <f t="shared" si="31"/>
        <v>0.4</v>
      </c>
      <c r="G233" s="128">
        <f t="shared" si="31"/>
        <v>0.4</v>
      </c>
      <c r="H233" s="128">
        <f t="shared" si="31"/>
        <v>0.4</v>
      </c>
      <c r="I233" s="128">
        <f t="shared" si="31"/>
        <v>0.4</v>
      </c>
      <c r="J233" s="128">
        <f t="shared" si="31"/>
        <v>0.4</v>
      </c>
      <c r="K233" s="128">
        <f t="shared" si="31"/>
        <v>0.4</v>
      </c>
      <c r="L233" s="128">
        <f t="shared" si="31"/>
        <v>0.4</v>
      </c>
      <c r="M233" s="128">
        <f t="shared" si="31"/>
        <v>0.4</v>
      </c>
      <c r="N233" s="128">
        <f t="shared" si="31"/>
        <v>0.4</v>
      </c>
      <c r="O233" s="128">
        <f t="shared" si="31"/>
        <v>0.4</v>
      </c>
      <c r="P233" s="128">
        <f t="shared" si="3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30"/>
        <v>0</v>
      </c>
      <c r="C234" s="132">
        <v>0.64</v>
      </c>
      <c r="D234" s="132">
        <f t="shared" si="31"/>
        <v>0.64</v>
      </c>
      <c r="E234" s="132">
        <f t="shared" si="31"/>
        <v>0.64</v>
      </c>
      <c r="F234" s="132">
        <f t="shared" si="31"/>
        <v>0.64</v>
      </c>
      <c r="G234" s="132">
        <f t="shared" si="31"/>
        <v>0.64</v>
      </c>
      <c r="H234" s="132">
        <f t="shared" si="31"/>
        <v>0.64</v>
      </c>
      <c r="I234" s="132">
        <f t="shared" si="31"/>
        <v>0.64</v>
      </c>
      <c r="J234" s="132">
        <f t="shared" si="31"/>
        <v>0.64</v>
      </c>
      <c r="K234" s="132">
        <f t="shared" si="31"/>
        <v>0.64</v>
      </c>
      <c r="L234" s="132">
        <f t="shared" si="31"/>
        <v>0.64</v>
      </c>
      <c r="M234" s="132">
        <f t="shared" si="31"/>
        <v>0.64</v>
      </c>
      <c r="N234" s="132">
        <f t="shared" si="31"/>
        <v>0.64</v>
      </c>
      <c r="O234" s="132">
        <f t="shared" si="31"/>
        <v>0.64</v>
      </c>
      <c r="P234" s="132">
        <f t="shared" si="3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2">SUM(B229:B234)</f>
        <v>0</v>
      </c>
      <c r="C235" s="136">
        <f t="shared" si="32"/>
        <v>3.54</v>
      </c>
      <c r="D235" s="136">
        <f t="shared" si="32"/>
        <v>3.54</v>
      </c>
      <c r="E235" s="136">
        <f t="shared" si="32"/>
        <v>3.54</v>
      </c>
      <c r="F235" s="136">
        <f t="shared" si="32"/>
        <v>3.54</v>
      </c>
      <c r="G235" s="136">
        <f t="shared" si="32"/>
        <v>3.54</v>
      </c>
      <c r="H235" s="136">
        <f t="shared" si="32"/>
        <v>3.54</v>
      </c>
      <c r="I235" s="136">
        <f t="shared" ca="1" si="32"/>
        <v>121.23900000000009</v>
      </c>
      <c r="J235" s="136">
        <f t="shared" ca="1" si="32"/>
        <v>121.23900000000009</v>
      </c>
      <c r="K235" s="136">
        <f t="shared" ca="1" si="32"/>
        <v>121.23900000000009</v>
      </c>
      <c r="L235" s="136">
        <f t="shared" ca="1" si="32"/>
        <v>125.2590000000001</v>
      </c>
      <c r="M235" s="136">
        <f t="shared" ca="1" si="32"/>
        <v>121.23900000000009</v>
      </c>
      <c r="N235" s="136">
        <f t="shared" ca="1" si="32"/>
        <v>121.23900000000009</v>
      </c>
      <c r="O235" s="136">
        <f t="shared" ca="1" si="32"/>
        <v>121.23900000000009</v>
      </c>
      <c r="P235" s="136">
        <f t="shared" ca="1" si="32"/>
        <v>121.23900000000009</v>
      </c>
      <c r="Q235" s="136">
        <f t="shared" si="32"/>
        <v>0</v>
      </c>
      <c r="R235" s="136">
        <f t="shared" si="32"/>
        <v>0</v>
      </c>
      <c r="S235" s="136">
        <f t="shared" si="32"/>
        <v>0</v>
      </c>
      <c r="T235" s="136">
        <f t="shared" si="32"/>
        <v>0</v>
      </c>
      <c r="U235" s="136">
        <f t="shared" si="32"/>
        <v>0</v>
      </c>
      <c r="V235" s="136">
        <f t="shared" si="32"/>
        <v>0</v>
      </c>
      <c r="W235" s="136">
        <f t="shared" si="32"/>
        <v>0</v>
      </c>
      <c r="X235" s="136">
        <f t="shared" si="32"/>
        <v>0</v>
      </c>
      <c r="Y235" s="136">
        <f t="shared" si="32"/>
        <v>0</v>
      </c>
      <c r="Z235" s="136">
        <f t="shared" si="32"/>
        <v>0</v>
      </c>
      <c r="AA235" s="136">
        <f t="shared" si="32"/>
        <v>0</v>
      </c>
      <c r="AB235" s="136">
        <f t="shared" si="32"/>
        <v>0</v>
      </c>
      <c r="AC235" s="136">
        <f t="shared" si="32"/>
        <v>0</v>
      </c>
      <c r="AD235" s="136">
        <f t="shared" si="32"/>
        <v>0</v>
      </c>
      <c r="AE235" s="136">
        <f t="shared" si="32"/>
        <v>0</v>
      </c>
      <c r="AF235" s="136">
        <f t="shared" si="32"/>
        <v>0</v>
      </c>
      <c r="AG235" s="145">
        <f t="shared" si="3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2130.54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08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2080/05/8)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2080/05/8)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3">B91</f>
        <v>2048.94</v>
      </c>
      <c r="U249" s="170">
        <f t="shared" si="33"/>
        <v>2034.6399999999999</v>
      </c>
      <c r="V249" s="170">
        <f t="shared" si="33"/>
        <v>2044.54</v>
      </c>
      <c r="W249" s="170">
        <f t="shared" si="33"/>
        <v>2026.54</v>
      </c>
      <c r="X249" s="170">
        <f t="shared" si="33"/>
        <v>2016.1399999999999</v>
      </c>
      <c r="Y249" s="170">
        <f t="shared" si="33"/>
        <v>2026.34</v>
      </c>
      <c r="Z249" s="170">
        <f t="shared" si="33"/>
        <v>2038.44</v>
      </c>
      <c r="AA249" s="170">
        <f t="shared" si="33"/>
        <v>2042.44</v>
      </c>
      <c r="AB249" s="170">
        <f t="shared" si="33"/>
        <v>2067.54</v>
      </c>
      <c r="AC249" s="170">
        <f t="shared" si="33"/>
        <v>2116.04</v>
      </c>
      <c r="AD249" s="170">
        <f t="shared" si="33"/>
        <v>2121.84</v>
      </c>
      <c r="AE249" s="170">
        <f t="shared" si="33"/>
        <v>2115.3399999999997</v>
      </c>
      <c r="AF249" s="170">
        <f t="shared" si="33"/>
        <v>2130.54</v>
      </c>
      <c r="AG249" s="170">
        <f t="shared" si="33"/>
        <v>2126.34</v>
      </c>
      <c r="AH249" s="170">
        <f t="shared" si="33"/>
        <v>2129.04</v>
      </c>
      <c r="AI249" s="170">
        <f t="shared" si="33"/>
        <v>2120.44</v>
      </c>
      <c r="AJ249" s="170">
        <f t="shared" si="33"/>
        <v>2101.34</v>
      </c>
      <c r="AK249" s="170">
        <f t="shared" si="33"/>
        <v>2101.34</v>
      </c>
      <c r="AL249" s="170">
        <f t="shared" si="33"/>
        <v>2094.84</v>
      </c>
      <c r="AM249" s="170">
        <f t="shared" si="33"/>
        <v>2094.04</v>
      </c>
      <c r="AN249" s="170">
        <f t="shared" si="33"/>
        <v>2100.64</v>
      </c>
      <c r="AO249" s="170">
        <f t="shared" si="33"/>
        <v>2077.1400000000003</v>
      </c>
      <c r="AP249" s="170">
        <f t="shared" si="33"/>
        <v>2119.94</v>
      </c>
      <c r="AQ249" s="170">
        <f t="shared" si="33"/>
        <v>2191.54</v>
      </c>
      <c r="AR249" s="170">
        <f t="shared" si="33"/>
        <v>2196.54</v>
      </c>
      <c r="AS249" s="170">
        <f t="shared" si="33"/>
        <v>2151.54</v>
      </c>
      <c r="AT249" s="170">
        <f t="shared" si="33"/>
        <v>2146.4399999999996</v>
      </c>
      <c r="AU249" s="170">
        <f t="shared" si="33"/>
        <v>2141.4399999999996</v>
      </c>
      <c r="AV249" s="170">
        <f t="shared" si="33"/>
        <v>2092.4399999999996</v>
      </c>
      <c r="AW249" s="170">
        <f t="shared" si="33"/>
        <v>2071.44</v>
      </c>
      <c r="AX249" s="170">
        <f t="shared" si="33"/>
        <v>2066.44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4">C234</f>
        <v>0.64</v>
      </c>
      <c r="C270" s="173">
        <f t="shared" si="34"/>
        <v>0.64</v>
      </c>
      <c r="D270" s="173">
        <f t="shared" si="34"/>
        <v>0.64</v>
      </c>
      <c r="E270" s="173">
        <f t="shared" si="34"/>
        <v>0.64</v>
      </c>
      <c r="F270" s="173">
        <f t="shared" si="34"/>
        <v>0.64</v>
      </c>
      <c r="G270" s="173">
        <f t="shared" si="34"/>
        <v>0.64</v>
      </c>
      <c r="H270" s="173">
        <f t="shared" si="34"/>
        <v>0.64</v>
      </c>
      <c r="I270" s="173">
        <f t="shared" si="34"/>
        <v>0.64</v>
      </c>
      <c r="J270" s="173">
        <f t="shared" si="34"/>
        <v>0.64</v>
      </c>
      <c r="K270" s="173">
        <f t="shared" si="34"/>
        <v>0.64</v>
      </c>
      <c r="L270" s="173">
        <f t="shared" si="34"/>
        <v>0.64</v>
      </c>
      <c r="M270" s="173">
        <f t="shared" si="34"/>
        <v>0.64</v>
      </c>
      <c r="N270" s="173">
        <f t="shared" si="34"/>
        <v>0.64</v>
      </c>
      <c r="O270" s="173">
        <f t="shared" si="34"/>
        <v>0.64</v>
      </c>
      <c r="P270" s="173">
        <f t="shared" si="34"/>
        <v>0</v>
      </c>
      <c r="Q270" s="173">
        <f t="shared" si="34"/>
        <v>0</v>
      </c>
      <c r="R270" s="173">
        <f t="shared" si="34"/>
        <v>0</v>
      </c>
      <c r="S270" s="173">
        <f t="shared" si="34"/>
        <v>0</v>
      </c>
      <c r="T270" s="173">
        <f t="shared" si="34"/>
        <v>0</v>
      </c>
      <c r="U270" s="173">
        <f t="shared" si="34"/>
        <v>0</v>
      </c>
      <c r="V270" s="173">
        <f t="shared" si="34"/>
        <v>0</v>
      </c>
      <c r="W270" s="173">
        <f t="shared" si="34"/>
        <v>0</v>
      </c>
      <c r="X270" s="173">
        <f t="shared" si="34"/>
        <v>0</v>
      </c>
      <c r="Y270" s="173">
        <f t="shared" si="34"/>
        <v>0</v>
      </c>
      <c r="Z270" s="173">
        <f t="shared" si="34"/>
        <v>0</v>
      </c>
      <c r="AA270" s="173">
        <f t="shared" si="34"/>
        <v>0</v>
      </c>
      <c r="AB270" s="173">
        <f t="shared" si="34"/>
        <v>0</v>
      </c>
      <c r="AC270" s="173">
        <f t="shared" si="34"/>
        <v>0</v>
      </c>
      <c r="AD270" s="173">
        <f t="shared" si="34"/>
        <v>0</v>
      </c>
      <c r="AE270" s="173">
        <f t="shared" si="3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5">IF(B238&lt;100,"",B238-520)</f>
        <v/>
      </c>
      <c r="C271" s="174" t="str">
        <f t="shared" si="35"/>
        <v/>
      </c>
      <c r="D271" s="174" t="str">
        <f t="shared" si="35"/>
        <v/>
      </c>
      <c r="E271" s="174" t="str">
        <f t="shared" si="35"/>
        <v/>
      </c>
      <c r="F271" s="174" t="str">
        <f t="shared" si="35"/>
        <v/>
      </c>
      <c r="G271" s="174" t="str">
        <f t="shared" si="35"/>
        <v/>
      </c>
      <c r="H271" s="174" t="str">
        <f t="shared" si="35"/>
        <v/>
      </c>
      <c r="I271" s="174" t="str">
        <f t="shared" si="35"/>
        <v/>
      </c>
      <c r="J271" s="174" t="str">
        <f t="shared" si="35"/>
        <v/>
      </c>
      <c r="K271" s="174" t="str">
        <f t="shared" si="35"/>
        <v/>
      </c>
      <c r="L271" s="174" t="str">
        <f t="shared" si="35"/>
        <v/>
      </c>
      <c r="M271" s="174" t="str">
        <f t="shared" si="35"/>
        <v/>
      </c>
      <c r="N271" s="174" t="str">
        <f t="shared" si="35"/>
        <v/>
      </c>
      <c r="O271" s="174" t="str">
        <f t="shared" si="35"/>
        <v/>
      </c>
      <c r="P271" s="174" t="str">
        <f t="shared" si="35"/>
        <v/>
      </c>
      <c r="Q271" s="174" t="str">
        <f t="shared" si="35"/>
        <v/>
      </c>
      <c r="R271" s="174" t="str">
        <f t="shared" si="35"/>
        <v/>
      </c>
      <c r="S271" s="174" t="str">
        <f t="shared" si="35"/>
        <v/>
      </c>
      <c r="T271" s="174" t="str">
        <f t="shared" si="35"/>
        <v/>
      </c>
      <c r="U271" s="174" t="str">
        <f t="shared" si="35"/>
        <v/>
      </c>
      <c r="V271" s="174" t="str">
        <f t="shared" si="35"/>
        <v/>
      </c>
      <c r="W271" s="174" t="str">
        <f t="shared" si="35"/>
        <v/>
      </c>
      <c r="X271" s="174" t="str">
        <f t="shared" si="35"/>
        <v/>
      </c>
      <c r="Y271" s="174" t="str">
        <f t="shared" si="35"/>
        <v/>
      </c>
      <c r="Z271" s="174" t="str">
        <f t="shared" si="35"/>
        <v/>
      </c>
      <c r="AA271" s="174" t="str">
        <f t="shared" si="35"/>
        <v/>
      </c>
      <c r="AB271" s="174" t="str">
        <f t="shared" si="35"/>
        <v/>
      </c>
      <c r="AC271" s="174" t="str">
        <f t="shared" si="35"/>
        <v/>
      </c>
      <c r="AD271" s="174" t="str">
        <f t="shared" si="35"/>
        <v/>
      </c>
      <c r="AE271" s="174" t="str">
        <f t="shared" si="35"/>
        <v/>
      </c>
      <c r="AF271" s="174" t="str">
        <f t="shared" si="3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6">IF(B239&lt;100,"",B239-620)</f>
        <v/>
      </c>
      <c r="C272" s="174" t="str">
        <f t="shared" si="36"/>
        <v/>
      </c>
      <c r="D272" s="174" t="str">
        <f t="shared" si="36"/>
        <v/>
      </c>
      <c r="E272" s="174" t="str">
        <f t="shared" si="36"/>
        <v/>
      </c>
      <c r="F272" s="174" t="str">
        <f t="shared" si="36"/>
        <v/>
      </c>
      <c r="G272" s="174" t="str">
        <f t="shared" si="36"/>
        <v/>
      </c>
      <c r="H272" s="174" t="str">
        <f t="shared" si="36"/>
        <v/>
      </c>
      <c r="I272" s="174" t="str">
        <f t="shared" si="36"/>
        <v/>
      </c>
      <c r="J272" s="174" t="str">
        <f t="shared" si="36"/>
        <v/>
      </c>
      <c r="K272" s="174" t="str">
        <f t="shared" si="36"/>
        <v/>
      </c>
      <c r="L272" s="174" t="str">
        <f t="shared" si="36"/>
        <v/>
      </c>
      <c r="M272" s="174" t="str">
        <f t="shared" si="36"/>
        <v/>
      </c>
      <c r="N272" s="174" t="str">
        <f t="shared" si="36"/>
        <v/>
      </c>
      <c r="O272" s="174" t="str">
        <f t="shared" si="36"/>
        <v/>
      </c>
      <c r="P272" s="174" t="str">
        <f t="shared" si="36"/>
        <v/>
      </c>
      <c r="Q272" s="174" t="str">
        <f t="shared" si="36"/>
        <v/>
      </c>
      <c r="R272" s="174" t="str">
        <f t="shared" si="36"/>
        <v/>
      </c>
      <c r="S272" s="174" t="str">
        <f t="shared" si="36"/>
        <v/>
      </c>
      <c r="T272" s="174" t="str">
        <f t="shared" si="36"/>
        <v/>
      </c>
      <c r="U272" s="174" t="str">
        <f t="shared" si="36"/>
        <v/>
      </c>
      <c r="V272" s="174" t="str">
        <f t="shared" si="36"/>
        <v/>
      </c>
      <c r="W272" s="174" t="str">
        <f t="shared" si="36"/>
        <v/>
      </c>
      <c r="X272" s="174" t="str">
        <f t="shared" si="36"/>
        <v/>
      </c>
      <c r="Y272" s="174" t="str">
        <f t="shared" si="36"/>
        <v/>
      </c>
      <c r="Z272" s="174" t="str">
        <f t="shared" si="36"/>
        <v/>
      </c>
      <c r="AA272" s="174" t="str">
        <f t="shared" si="36"/>
        <v/>
      </c>
      <c r="AB272" s="174" t="str">
        <f t="shared" si="36"/>
        <v/>
      </c>
      <c r="AC272" s="174" t="str">
        <f t="shared" si="36"/>
        <v/>
      </c>
      <c r="AD272" s="174" t="str">
        <f t="shared" si="36"/>
        <v/>
      </c>
      <c r="AE272" s="174" t="str">
        <f t="shared" si="36"/>
        <v/>
      </c>
      <c r="AF272" s="174" t="str">
        <f t="shared" si="3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7">IF(B240&lt;100,"",B240-330)</f>
        <v/>
      </c>
      <c r="C273" s="174" t="str">
        <f t="shared" si="37"/>
        <v/>
      </c>
      <c r="D273" s="174" t="str">
        <f t="shared" si="37"/>
        <v/>
      </c>
      <c r="E273" s="174" t="str">
        <f t="shared" si="37"/>
        <v/>
      </c>
      <c r="F273" s="174" t="str">
        <f t="shared" si="37"/>
        <v/>
      </c>
      <c r="G273" s="174" t="str">
        <f t="shared" si="37"/>
        <v/>
      </c>
      <c r="H273" s="174" t="str">
        <f t="shared" si="37"/>
        <v/>
      </c>
      <c r="I273" s="174" t="str">
        <f t="shared" si="37"/>
        <v/>
      </c>
      <c r="J273" s="174" t="str">
        <f t="shared" si="37"/>
        <v/>
      </c>
      <c r="K273" s="174" t="str">
        <f t="shared" si="37"/>
        <v/>
      </c>
      <c r="L273" s="174" t="str">
        <f t="shared" si="37"/>
        <v/>
      </c>
      <c r="M273" s="174" t="str">
        <f t="shared" si="37"/>
        <v/>
      </c>
      <c r="N273" s="174" t="str">
        <f t="shared" si="37"/>
        <v/>
      </c>
      <c r="O273" s="174" t="str">
        <f t="shared" si="37"/>
        <v/>
      </c>
      <c r="P273" s="174" t="str">
        <f t="shared" si="37"/>
        <v/>
      </c>
      <c r="Q273" s="174" t="str">
        <f t="shared" si="37"/>
        <v/>
      </c>
      <c r="R273" s="174" t="str">
        <f t="shared" si="37"/>
        <v/>
      </c>
      <c r="S273" s="174" t="str">
        <f t="shared" si="37"/>
        <v/>
      </c>
      <c r="T273" s="174" t="str">
        <f t="shared" si="37"/>
        <v/>
      </c>
      <c r="U273" s="174" t="str">
        <f t="shared" si="37"/>
        <v/>
      </c>
      <c r="V273" s="174" t="str">
        <f t="shared" si="37"/>
        <v/>
      </c>
      <c r="W273" s="174" t="str">
        <f t="shared" si="37"/>
        <v/>
      </c>
      <c r="X273" s="174" t="str">
        <f t="shared" si="37"/>
        <v/>
      </c>
      <c r="Y273" s="174" t="str">
        <f t="shared" si="37"/>
        <v/>
      </c>
      <c r="Z273" s="174" t="str">
        <f t="shared" si="37"/>
        <v/>
      </c>
      <c r="AA273" s="174" t="str">
        <f t="shared" si="37"/>
        <v/>
      </c>
      <c r="AB273" s="174" t="str">
        <f t="shared" si="37"/>
        <v/>
      </c>
      <c r="AC273" s="174" t="str">
        <f t="shared" si="37"/>
        <v/>
      </c>
      <c r="AD273" s="174" t="str">
        <f t="shared" si="37"/>
        <v/>
      </c>
      <c r="AE273" s="174" t="str">
        <f t="shared" si="37"/>
        <v/>
      </c>
      <c r="AF273" s="174" t="str">
        <f t="shared" si="3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8">IF(B241&lt;100,"",B241-1500)</f>
        <v/>
      </c>
      <c r="C274" s="174" t="str">
        <f t="shared" si="38"/>
        <v/>
      </c>
      <c r="D274" s="174" t="str">
        <f t="shared" si="38"/>
        <v/>
      </c>
      <c r="E274" s="174" t="str">
        <f t="shared" si="38"/>
        <v/>
      </c>
      <c r="F274" s="174" t="str">
        <f t="shared" si="38"/>
        <v/>
      </c>
      <c r="G274" s="174" t="str">
        <f t="shared" si="38"/>
        <v/>
      </c>
      <c r="H274" s="174" t="str">
        <f t="shared" si="38"/>
        <v/>
      </c>
      <c r="I274" s="174" t="str">
        <f t="shared" si="38"/>
        <v/>
      </c>
      <c r="J274" s="174" t="str">
        <f t="shared" si="38"/>
        <v/>
      </c>
      <c r="K274" s="174" t="str">
        <f t="shared" si="38"/>
        <v/>
      </c>
      <c r="L274" s="174" t="str">
        <f t="shared" si="38"/>
        <v/>
      </c>
      <c r="M274" s="174" t="str">
        <f t="shared" si="38"/>
        <v/>
      </c>
      <c r="N274" s="174" t="str">
        <f t="shared" si="38"/>
        <v/>
      </c>
      <c r="O274" s="174" t="str">
        <f t="shared" si="38"/>
        <v/>
      </c>
      <c r="P274" s="174" t="str">
        <f t="shared" si="38"/>
        <v/>
      </c>
      <c r="Q274" s="174" t="str">
        <f t="shared" si="38"/>
        <v/>
      </c>
      <c r="R274" s="174" t="str">
        <f t="shared" si="38"/>
        <v/>
      </c>
      <c r="S274" s="174" t="str">
        <f t="shared" si="38"/>
        <v/>
      </c>
      <c r="T274" s="174" t="str">
        <f t="shared" si="38"/>
        <v/>
      </c>
      <c r="U274" s="174" t="str">
        <f t="shared" si="38"/>
        <v/>
      </c>
      <c r="V274" s="174" t="str">
        <f t="shared" si="38"/>
        <v/>
      </c>
      <c r="W274" s="174" t="str">
        <f t="shared" si="38"/>
        <v/>
      </c>
      <c r="X274" s="174" t="str">
        <f t="shared" si="38"/>
        <v/>
      </c>
      <c r="Y274" s="174" t="str">
        <f t="shared" si="38"/>
        <v/>
      </c>
      <c r="Z274" s="174" t="str">
        <f t="shared" si="38"/>
        <v/>
      </c>
      <c r="AA274" s="174" t="str">
        <f t="shared" si="38"/>
        <v/>
      </c>
      <c r="AB274" s="174" t="str">
        <f t="shared" si="38"/>
        <v/>
      </c>
      <c r="AC274" s="174" t="str">
        <f t="shared" si="38"/>
        <v/>
      </c>
      <c r="AD274" s="174" t="str">
        <f t="shared" si="38"/>
        <v/>
      </c>
      <c r="AE274" s="174" t="str">
        <f t="shared" si="38"/>
        <v/>
      </c>
      <c r="AF274" s="174" t="str">
        <f t="shared" si="3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phoneticPr fontId="35" type="noConversion"/>
  <conditionalFormatting sqref="A11:A236">
    <cfRule type="expression" dxfId="2982" priority="68">
      <formula>$AH11=0</formula>
    </cfRule>
  </conditionalFormatting>
  <conditionalFormatting sqref="B8 M8 S8 AB8">
    <cfRule type="expression" dxfId="2981" priority="119">
      <formula>AND(C$9&gt;=14/24,C$9&lt;20/24)</formula>
    </cfRule>
    <cfRule type="expression" dxfId="2980" priority="120">
      <formula>AND(C$9&gt;=8/24,C$9&lt;14/24)</formula>
    </cfRule>
    <cfRule type="expression" dxfId="2979" priority="121">
      <formula>C$9&lt;8/24</formula>
    </cfRule>
  </conditionalFormatting>
  <conditionalFormatting sqref="B54:C54 B46:AF46">
    <cfRule type="expression" dxfId="2978" priority="42">
      <formula>B$9&gt;=20/24</formula>
    </cfRule>
    <cfRule type="expression" dxfId="2977" priority="43">
      <formula>AND(B$9&gt;=14/24,B$9&lt;20/24)</formula>
    </cfRule>
    <cfRule type="expression" dxfId="2976" priority="44">
      <formula>AND(B$9&gt;=8/24,B$9&lt;14/24)</formula>
    </cfRule>
    <cfRule type="expression" dxfId="2975" priority="45">
      <formula>B$9&lt;8/24</formula>
    </cfRule>
  </conditionalFormatting>
  <conditionalFormatting sqref="B54:C66 D55:G66 B11:AF46">
    <cfRule type="expression" dxfId="2974" priority="37">
      <formula>B11&gt;$AG11</formula>
    </cfRule>
  </conditionalFormatting>
  <conditionalFormatting sqref="B55:G59">
    <cfRule type="expression" dxfId="2973" priority="64">
      <formula>B$9&gt;=20/24</formula>
    </cfRule>
    <cfRule type="expression" dxfId="2972" priority="65">
      <formula>AND(B$9&gt;=14/24,B$9&lt;20/24)</formula>
    </cfRule>
    <cfRule type="expression" dxfId="2971" priority="66">
      <formula>AND(B$9&gt;=8/24,B$9&lt;14/24)</formula>
    </cfRule>
    <cfRule type="expression" dxfId="2970" priority="67">
      <formula>B$9&lt;8/24</formula>
    </cfRule>
  </conditionalFormatting>
  <conditionalFormatting sqref="B60:X60">
    <cfRule type="expression" dxfId="2969" priority="55">
      <formula>B$9&gt;=20/24</formula>
    </cfRule>
    <cfRule type="expression" dxfId="2968" priority="56">
      <formula>AND(B$9&gt;=14/24,B$9&lt;20/24)</formula>
    </cfRule>
    <cfRule type="expression" dxfId="2967" priority="57">
      <formula>AND(B$9&gt;=8/24,B$9&lt;14/24)</formula>
    </cfRule>
    <cfRule type="expression" dxfId="2966" priority="58">
      <formula>B$9&lt;8/24</formula>
    </cfRule>
  </conditionalFormatting>
  <conditionalFormatting sqref="B61:AF66">
    <cfRule type="expression" dxfId="2965" priority="38">
      <formula>B$9&gt;=20/24</formula>
    </cfRule>
    <cfRule type="expression" dxfId="2964" priority="39">
      <formula>AND(B$9&gt;=14/24,B$9&lt;20/24)</formula>
    </cfRule>
    <cfRule type="expression" dxfId="2963" priority="40">
      <formula>AND(B$9&gt;=8/24,B$9&lt;14/24)</formula>
    </cfRule>
    <cfRule type="expression" dxfId="2962" priority="41">
      <formula>B$9&lt;8/24</formula>
    </cfRule>
  </conditionalFormatting>
  <conditionalFormatting sqref="B9:AF45">
    <cfRule type="expression" dxfId="2961" priority="27">
      <formula>B$9&gt;=20/24</formula>
    </cfRule>
    <cfRule type="expression" dxfId="2960" priority="28">
      <formula>AND(B$9&gt;=14/24,B$9&lt;20/24)</formula>
    </cfRule>
    <cfRule type="expression" dxfId="2959" priority="29">
      <formula>AND(B$9&gt;=8/24,B$9&lt;14/24)</formula>
    </cfRule>
    <cfRule type="expression" dxfId="2958" priority="30">
      <formula>B$9&lt;8/24</formula>
    </cfRule>
  </conditionalFormatting>
  <conditionalFormatting sqref="B47:AF47">
    <cfRule type="expression" dxfId="2957" priority="36">
      <formula>B47&gt;$AG47</formula>
    </cfRule>
  </conditionalFormatting>
  <conditionalFormatting sqref="B47:AF49">
    <cfRule type="expression" dxfId="2956" priority="32">
      <formula>B$9&gt;=20/24</formula>
    </cfRule>
    <cfRule type="expression" dxfId="2955" priority="33">
      <formula>AND(B$9&gt;=14/24,B$9&lt;20/24)</formula>
    </cfRule>
    <cfRule type="expression" dxfId="2954" priority="34">
      <formula>AND(B$9&gt;=8/24,B$9&lt;14/24)</formula>
    </cfRule>
    <cfRule type="expression" dxfId="2953" priority="35">
      <formula>B$9&lt;8/24</formula>
    </cfRule>
  </conditionalFormatting>
  <conditionalFormatting sqref="B48:AF53">
    <cfRule type="expression" dxfId="2952" priority="31">
      <formula>B48&gt;$AG48</formula>
    </cfRule>
  </conditionalFormatting>
  <conditionalFormatting sqref="B51:AF53">
    <cfRule type="expression" dxfId="2951" priority="51">
      <formula>B$9&gt;=20/24</formula>
    </cfRule>
    <cfRule type="expression" dxfId="2950" priority="52">
      <formula>AND(B$9&gt;=14/24,B$9&lt;20/24)</formula>
    </cfRule>
    <cfRule type="expression" dxfId="2949" priority="53">
      <formula>AND(B$9&gt;=8/24,B$9&lt;14/24)</formula>
    </cfRule>
    <cfRule type="expression" dxfId="2948" priority="54">
      <formula>B$9&lt;8/24</formula>
    </cfRule>
  </conditionalFormatting>
  <conditionalFormatting sqref="D54:AG54 B69:AF71">
    <cfRule type="expression" dxfId="2947" priority="59">
      <formula>B54&gt;$AG54</formula>
    </cfRule>
    <cfRule type="expression" dxfId="2946" priority="60">
      <formula>B$9&gt;=20/24</formula>
    </cfRule>
    <cfRule type="expression" dxfId="2945" priority="61">
      <formula>AND(B$9&gt;=14/24,B$9&lt;20/24)</formula>
    </cfRule>
    <cfRule type="expression" dxfId="2944" priority="62">
      <formula>AND(B$9&gt;=8/24,B$9&lt;14/24)</formula>
    </cfRule>
    <cfRule type="expression" dxfId="2943" priority="63">
      <formula>B$9&lt;8/24</formula>
    </cfRule>
  </conditionalFormatting>
  <conditionalFormatting sqref="B73:AF91">
    <cfRule type="expression" dxfId="2942" priority="5">
      <formula>B$9&gt;=20/24</formula>
    </cfRule>
    <cfRule type="expression" dxfId="2941" priority="6">
      <formula>AND(B$9&gt;=14/24,B$9&lt;20/24)</formula>
    </cfRule>
    <cfRule type="expression" dxfId="2940" priority="7">
      <formula>AND(B$9&gt;=8/24,B$9&lt;14/24)</formula>
    </cfRule>
    <cfRule type="expression" dxfId="2939" priority="8">
      <formula>B$9&lt;8/24</formula>
    </cfRule>
  </conditionalFormatting>
  <conditionalFormatting sqref="B111:AF120">
    <cfRule type="expression" dxfId="2938" priority="18">
      <formula>B$9&gt;=20/24</formula>
    </cfRule>
    <cfRule type="expression" dxfId="2937" priority="19">
      <formula>AND(B$9&gt;=14/24,B$9&lt;20/24)</formula>
    </cfRule>
    <cfRule type="expression" dxfId="2936" priority="20">
      <formula>AND(B$9&gt;=8/24,B$9&lt;14/24)</formula>
    </cfRule>
    <cfRule type="expression" dxfId="2935" priority="21">
      <formula>B$9&lt;8/24</formula>
    </cfRule>
  </conditionalFormatting>
  <conditionalFormatting sqref="B227:AF227 D229:AF230 B229:B235 D231:H231 J231:AF231 D232:AF235 U248:AF248">
    <cfRule type="expression" dxfId="2934" priority="112">
      <formula>B$9&gt;=20/24</formula>
    </cfRule>
    <cfRule type="expression" dxfId="2933" priority="113">
      <formula>AND(B$9&gt;=14/24,B$9&lt;20/24)</formula>
    </cfRule>
    <cfRule type="expression" dxfId="2932" priority="114">
      <formula>AND(B$9&gt;=8/24,B$9&lt;14/24)</formula>
    </cfRule>
    <cfRule type="expression" dxfId="2931" priority="115">
      <formula>B$9&lt;8/24</formula>
    </cfRule>
  </conditionalFormatting>
  <conditionalFormatting sqref="B72:AG72 B67:AG68">
    <cfRule type="expression" dxfId="2930" priority="46">
      <formula>B67&gt;$AG67</formula>
    </cfRule>
  </conditionalFormatting>
  <conditionalFormatting sqref="B72:AG72 B93:AF109">
    <cfRule type="expression" dxfId="2929" priority="47">
      <formula>B$9&gt;=20/24</formula>
    </cfRule>
    <cfRule type="expression" dxfId="2928" priority="48">
      <formula>AND(B$9&gt;=14/24,B$9&lt;20/24)</formula>
    </cfRule>
    <cfRule type="expression" dxfId="2927" priority="49">
      <formula>AND(B$9&gt;=8/24,B$9&lt;14/24)</formula>
    </cfRule>
    <cfRule type="expression" dxfId="2926" priority="50">
      <formula>B$9&lt;8/24</formula>
    </cfRule>
  </conditionalFormatting>
  <conditionalFormatting sqref="H55:AF66">
    <cfRule type="expression" dxfId="2925" priority="9">
      <formula>H55&gt;$AG55</formula>
    </cfRule>
  </conditionalFormatting>
  <conditionalFormatting sqref="H55:L57">
    <cfRule type="expression" dxfId="2924" priority="93">
      <formula>H$9&gt;=20/24</formula>
    </cfRule>
    <cfRule type="expression" dxfId="2923" priority="94">
      <formula>AND(H$9&gt;=14/24,H$9&lt;20/24)</formula>
    </cfRule>
    <cfRule type="expression" dxfId="2922" priority="95">
      <formula>AND(H$9&gt;=8/24,H$9&lt;14/24)</formula>
    </cfRule>
    <cfRule type="expression" dxfId="2921" priority="96">
      <formula>H$9&lt;8/24</formula>
    </cfRule>
  </conditionalFormatting>
  <conditionalFormatting sqref="M55:X59">
    <cfRule type="expression" dxfId="2920" priority="97">
      <formula>M$9&gt;=20/24</formula>
    </cfRule>
    <cfRule type="expression" dxfId="2919" priority="98">
      <formula>AND(M$9&gt;=14/24,M$9&lt;20/24)</formula>
    </cfRule>
    <cfRule type="expression" dxfId="2918" priority="99">
      <formula>AND(M$9&gt;=8/24,M$9&lt;14/24)</formula>
    </cfRule>
    <cfRule type="expression" dxfId="2917" priority="100">
      <formula>M$9&lt;8/24</formula>
    </cfRule>
  </conditionalFormatting>
  <conditionalFormatting sqref="O3:P3">
    <cfRule type="iconSet" priority="116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916" priority="118">
      <formula>C$9&gt;=20/24</formula>
    </cfRule>
  </conditionalFormatting>
  <conditionalFormatting sqref="S8">
    <cfRule type="expression" dxfId="2915" priority="105">
      <formula>U$9&gt;=20/24</formula>
    </cfRule>
    <cfRule type="expression" dxfId="2914" priority="106">
      <formula>AND(U$9&gt;=14/24,U$9&lt;20/24)</formula>
    </cfRule>
    <cfRule type="expression" dxfId="2913" priority="107">
      <formula>AND(U$9&gt;=8/24,U$9&lt;14/24)</formula>
    </cfRule>
    <cfRule type="expression" dxfId="2912" priority="108">
      <formula>U$9&lt;8/24</formula>
    </cfRule>
  </conditionalFormatting>
  <conditionalFormatting sqref="S55:AF60">
    <cfRule type="expression" dxfId="2911" priority="14">
      <formula>S$9&gt;=20/24</formula>
    </cfRule>
    <cfRule type="expression" dxfId="2910" priority="15">
      <formula>AND(S$9&gt;=14/24,S$9&lt;20/24)</formula>
    </cfRule>
    <cfRule type="expression" dxfId="2909" priority="16">
      <formula>AND(S$9&gt;=8/24,S$9&lt;14/24)</formula>
    </cfRule>
    <cfRule type="expression" dxfId="2908" priority="17">
      <formula>S$9&lt;8/24</formula>
    </cfRule>
  </conditionalFormatting>
  <conditionalFormatting sqref="T248">
    <cfRule type="expression" dxfId="2907" priority="130">
      <formula>AX$9&gt;=20/24</formula>
    </cfRule>
    <cfRule type="expression" dxfId="2906" priority="131">
      <formula>AND(AX$9&gt;=14/24,AX$9&lt;20/24)</formula>
    </cfRule>
    <cfRule type="expression" dxfId="2905" priority="132">
      <formula>AND(AX$9&gt;=8/24,AX$9&lt;14/24)</formula>
    </cfRule>
    <cfRule type="expression" dxfId="2904" priority="133">
      <formula>AX$9&lt;8/24</formula>
    </cfRule>
  </conditionalFormatting>
  <conditionalFormatting sqref="V3 AB3">
    <cfRule type="iconSet" priority="117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903" priority="101">
      <formula>AD$9&gt;=20/24</formula>
    </cfRule>
    <cfRule type="expression" dxfId="2902" priority="102">
      <formula>AND(AD$9&gt;=14/24,AD$9&lt;20/24)</formula>
    </cfRule>
    <cfRule type="expression" dxfId="2901" priority="103">
      <formula>AND(AD$9&gt;=8/24,AD$9&lt;14/24)</formula>
    </cfRule>
    <cfRule type="expression" dxfId="2900" priority="104">
      <formula>AD$9&lt;8/24</formula>
    </cfRule>
  </conditionalFormatting>
  <conditionalFormatting sqref="AE61:AF66">
    <cfRule type="expression" dxfId="2899" priority="10">
      <formula>AE$9&gt;=20/24</formula>
    </cfRule>
    <cfRule type="expression" dxfId="2898" priority="11">
      <formula>AND(AE$9&gt;=14/24,AE$9&lt;20/24)</formula>
    </cfRule>
    <cfRule type="expression" dxfId="2897" priority="12">
      <formula>AND(AE$9&gt;=8/24,AE$9&lt;14/24)</formula>
    </cfRule>
    <cfRule type="expression" dxfId="2896" priority="13">
      <formula>AE$9&lt;8/24</formula>
    </cfRule>
  </conditionalFormatting>
  <conditionalFormatting sqref="AG50">
    <cfRule type="expression" dxfId="2895" priority="88">
      <formula>AG50&gt;$AG50</formula>
    </cfRule>
  </conditionalFormatting>
  <conditionalFormatting sqref="AG89">
    <cfRule type="expression" dxfId="2894" priority="89">
      <formula>AG$9&gt;=20/24</formula>
    </cfRule>
    <cfRule type="expression" dxfId="2893" priority="90">
      <formula>AND(AG$9&gt;=14/24,AG$9&lt;20/24)</formula>
    </cfRule>
    <cfRule type="expression" dxfId="2892" priority="91">
      <formula>AND(AG$9&gt;=8/24,AG$9&lt;14/24)</formula>
    </cfRule>
    <cfRule type="expression" dxfId="2891" priority="92">
      <formula>AG$9&lt;8/24</formula>
    </cfRule>
  </conditionalFormatting>
  <conditionalFormatting sqref="AG248">
    <cfRule type="expression" dxfId="2890" priority="122">
      <formula>B$9&gt;=20/24</formula>
    </cfRule>
    <cfRule type="expression" dxfId="2889" priority="123">
      <formula>AND(B$9&gt;=14/24,B$9&lt;20/24)</formula>
    </cfRule>
    <cfRule type="expression" dxfId="2888" priority="124">
      <formula>AND(B$9&gt;=8/24,B$9&lt;14/24)</formula>
    </cfRule>
    <cfRule type="expression" dxfId="2887" priority="125">
      <formula>B$9&lt;8/24</formula>
    </cfRule>
  </conditionalFormatting>
  <conditionalFormatting sqref="AH248:AX248">
    <cfRule type="expression" dxfId="2886" priority="126">
      <formula>AG$9&gt;=20/24</formula>
    </cfRule>
    <cfRule type="expression" dxfId="2885" priority="127">
      <formula>AND(AG$9&gt;=14/24,AG$9&lt;20/24)</formula>
    </cfRule>
    <cfRule type="expression" dxfId="2884" priority="128">
      <formula>AND(AG$9&gt;=8/24,AG$9&lt;14/24)</formula>
    </cfRule>
    <cfRule type="expression" dxfId="2883" priority="129">
      <formula>AG$9&lt;8/24</formula>
    </cfRule>
  </conditionalFormatting>
  <conditionalFormatting sqref="AL4:AL6">
    <cfRule type="iconSet" priority="111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71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6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70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5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7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10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9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9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4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882" priority="135">
      <formula>AJ$9&gt;=20/24</formula>
    </cfRule>
    <cfRule type="expression" dxfId="2881" priority="136">
      <formula>AND(AJ$9&gt;=14/24,AJ$9&lt;20/24)</formula>
    </cfRule>
    <cfRule type="expression" dxfId="2880" priority="137">
      <formula>AND(AJ$9&gt;=8/24,AJ$9&lt;14/24)</formula>
    </cfRule>
    <cfRule type="expression" dxfId="2879" priority="138">
      <formula>AJ$9&lt;8/24</formula>
    </cfRule>
  </conditionalFormatting>
  <conditionalFormatting sqref="AL80:AN80 AL86:AN86">
    <cfRule type="expression" dxfId="2878" priority="76">
      <formula>AL$9&gt;=20/24</formula>
    </cfRule>
    <cfRule type="expression" dxfId="2877" priority="77">
      <formula>AND(AL$9&gt;=14/24,AL$9&lt;20/24)</formula>
    </cfRule>
    <cfRule type="expression" dxfId="2876" priority="78">
      <formula>AND(AL$9&gt;=8/24,AL$9&lt;14/24)</formula>
    </cfRule>
    <cfRule type="expression" dxfId="2875" priority="79">
      <formula>AL$9&lt;8/24</formula>
    </cfRule>
  </conditionalFormatting>
  <conditionalFormatting sqref="AN81:AN84">
    <cfRule type="expression" dxfId="2874" priority="72">
      <formula>AN$9&gt;=20/24</formula>
    </cfRule>
    <cfRule type="expression" dxfId="2873" priority="73">
      <formula>AND(AN$9&gt;=14/24,AN$9&lt;20/24)</formula>
    </cfRule>
    <cfRule type="expression" dxfId="2872" priority="74">
      <formula>AND(AN$9&gt;=8/24,AN$9&lt;14/24)</formula>
    </cfRule>
    <cfRule type="expression" dxfId="2871" priority="75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D8CED-02E7-468E-978F-65EF5D66A15B}">
  <sheetPr codeName="Sheet31"/>
  <dimension ref="A1:CJ281"/>
  <sheetViews>
    <sheetView zoomScale="84" zoomScaleNormal="84" workbookViewId="0">
      <pane xSplit="1" ySplit="10" topLeftCell="I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B75" sqref="B75:AF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2080/05/9</v>
      </c>
      <c r="C4" s="201"/>
      <c r="D4" s="201"/>
      <c r="E4" s="202" t="str">
        <f ca="1">"2080/"&amp;"05/"&amp;INT(MID(CELL("filename",G6),FIND("]",CELL("filename",G6))+1,200))</f>
        <v>2080/05/9</v>
      </c>
      <c r="F4" s="202"/>
      <c r="G4" s="202"/>
      <c r="H4" s="202" t="str">
        <f ca="1">TEXT(E4,"dddd")</f>
        <v>Thursday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69.900000000000006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2.7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2185MW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Load=2058</v>
      </c>
      <c r="B7" s="35">
        <f t="shared" ref="B7:AF7" si="1">B91</f>
        <v>2077.3599999999997</v>
      </c>
      <c r="C7" s="35">
        <f t="shared" si="1"/>
        <v>2077.3599999999997</v>
      </c>
      <c r="D7" s="35">
        <f t="shared" si="1"/>
        <v>2079.3599999999997</v>
      </c>
      <c r="E7" s="35">
        <f t="shared" si="1"/>
        <v>2069.3599999999997</v>
      </c>
      <c r="F7" s="35">
        <f t="shared" si="1"/>
        <v>2061.3599999999997</v>
      </c>
      <c r="G7" s="35">
        <f t="shared" si="1"/>
        <v>2121.36</v>
      </c>
      <c r="H7" s="35">
        <f t="shared" si="1"/>
        <v>2061.3599999999997</v>
      </c>
      <c r="I7" s="35">
        <f t="shared" si="1"/>
        <v>2113.3599999999997</v>
      </c>
      <c r="J7" s="35">
        <f t="shared" si="1"/>
        <v>2122.16</v>
      </c>
      <c r="K7" s="35">
        <f t="shared" si="1"/>
        <v>2136.7599999999998</v>
      </c>
      <c r="L7" s="35">
        <f t="shared" si="1"/>
        <v>2173.16</v>
      </c>
      <c r="M7" s="35">
        <f t="shared" si="1"/>
        <v>2185.06</v>
      </c>
      <c r="N7" s="35">
        <f>N91</f>
        <v>2175.06</v>
      </c>
      <c r="O7" s="35">
        <f t="shared" si="1"/>
        <v>2179.16</v>
      </c>
      <c r="P7" s="35">
        <f t="shared" si="1"/>
        <v>2174.16</v>
      </c>
      <c r="Q7" s="35">
        <f t="shared" si="1"/>
        <v>2140.2599999999998</v>
      </c>
      <c r="R7" s="35">
        <f t="shared" si="1"/>
        <v>2142.96</v>
      </c>
      <c r="S7" s="35">
        <f t="shared" si="1"/>
        <v>2058.16</v>
      </c>
      <c r="T7" s="35">
        <f t="shared" si="1"/>
        <v>2071.96</v>
      </c>
      <c r="U7" s="35">
        <f t="shared" si="1"/>
        <v>2099.46</v>
      </c>
      <c r="V7" s="35">
        <f t="shared" si="1"/>
        <v>2124.16</v>
      </c>
      <c r="W7" s="35">
        <f t="shared" si="1"/>
        <v>2177.66</v>
      </c>
      <c r="X7" s="35">
        <f t="shared" si="1"/>
        <v>2183.56</v>
      </c>
      <c r="Y7" s="35">
        <f t="shared" si="1"/>
        <v>2248.3599999999997</v>
      </c>
      <c r="Z7" s="35">
        <f t="shared" si="1"/>
        <v>2248.3599999999997</v>
      </c>
      <c r="AA7" s="35">
        <f t="shared" si="1"/>
        <v>2215.7599999999998</v>
      </c>
      <c r="AB7" s="35">
        <f t="shared" si="1"/>
        <v>2201.8599999999997</v>
      </c>
      <c r="AC7" s="35">
        <f t="shared" si="1"/>
        <v>2151.8599999999997</v>
      </c>
      <c r="AD7" s="35">
        <f t="shared" si="1"/>
        <v>2141.56</v>
      </c>
      <c r="AE7" s="35">
        <f t="shared" si="1"/>
        <v>2091.56</v>
      </c>
      <c r="AF7" s="35">
        <f t="shared" si="1"/>
        <v>2064.06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90.2</v>
      </c>
      <c r="M11" s="45">
        <v>90.2</v>
      </c>
      <c r="N11" s="45">
        <v>90.3</v>
      </c>
      <c r="O11" s="45">
        <v>90.2</v>
      </c>
      <c r="P11" s="45">
        <v>90.3</v>
      </c>
      <c r="Q11" s="45">
        <v>90.3</v>
      </c>
      <c r="R11" s="45">
        <v>90.3</v>
      </c>
      <c r="S11" s="45">
        <v>0</v>
      </c>
      <c r="T11" s="45">
        <v>0</v>
      </c>
      <c r="U11" s="45">
        <v>60.3</v>
      </c>
      <c r="V11" s="45">
        <v>60.3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13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54.2</v>
      </c>
      <c r="C13" s="45">
        <v>54.2</v>
      </c>
      <c r="D13" s="45">
        <v>54.2</v>
      </c>
      <c r="E13" s="45">
        <v>54.2</v>
      </c>
      <c r="F13" s="45">
        <v>54.2</v>
      </c>
      <c r="G13" s="45">
        <v>54.2</v>
      </c>
      <c r="H13" s="45">
        <v>54.2</v>
      </c>
      <c r="I13" s="45">
        <v>54.2</v>
      </c>
      <c r="J13" s="45">
        <v>54.2</v>
      </c>
      <c r="K13" s="45">
        <v>54.2</v>
      </c>
      <c r="L13" s="45">
        <v>54.2</v>
      </c>
      <c r="M13" s="45">
        <v>54.4</v>
      </c>
      <c r="N13" s="45">
        <v>54.3</v>
      </c>
      <c r="O13" s="45">
        <v>54.3</v>
      </c>
      <c r="P13" s="45">
        <v>54.3</v>
      </c>
      <c r="Q13" s="45">
        <v>54.3</v>
      </c>
      <c r="R13" s="45">
        <v>54.3</v>
      </c>
      <c r="S13" s="45">
        <v>54.3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54.4</v>
      </c>
      <c r="AI13" s="48">
        <f t="shared" si="3"/>
        <v>54.2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50.2</v>
      </c>
      <c r="C14" s="58">
        <v>50.2</v>
      </c>
      <c r="D14" s="58">
        <v>50.2</v>
      </c>
      <c r="E14" s="58">
        <v>50.2</v>
      </c>
      <c r="F14" s="58">
        <v>50.2</v>
      </c>
      <c r="G14" s="58">
        <v>50.2</v>
      </c>
      <c r="H14" s="58">
        <v>50.2</v>
      </c>
      <c r="I14" s="58">
        <v>50.2</v>
      </c>
      <c r="J14" s="58">
        <v>50.2</v>
      </c>
      <c r="K14" s="58">
        <v>50.2</v>
      </c>
      <c r="L14" s="58">
        <v>50.2</v>
      </c>
      <c r="M14" s="58">
        <v>50.5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58">
        <v>50.5</v>
      </c>
      <c r="AB14" s="58">
        <v>50.5</v>
      </c>
      <c r="AC14" s="58">
        <v>50.5</v>
      </c>
      <c r="AD14" s="58">
        <v>50.5</v>
      </c>
      <c r="AE14" s="58">
        <v>50.5</v>
      </c>
      <c r="AF14" s="58">
        <v>50.5</v>
      </c>
      <c r="AG14" s="49">
        <v>50</v>
      </c>
      <c r="AH14" s="47">
        <f t="shared" si="2"/>
        <v>50.5</v>
      </c>
      <c r="AI14" s="48">
        <f t="shared" si="3"/>
        <v>50.2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46</v>
      </c>
      <c r="E15" s="45">
        <v>46</v>
      </c>
      <c r="F15" s="45">
        <v>46</v>
      </c>
      <c r="G15" s="45">
        <v>46</v>
      </c>
      <c r="H15" s="45">
        <v>46</v>
      </c>
      <c r="I15" s="45">
        <v>46</v>
      </c>
      <c r="J15" s="45">
        <v>46</v>
      </c>
      <c r="K15" s="45">
        <v>46</v>
      </c>
      <c r="L15" s="45">
        <v>46</v>
      </c>
      <c r="M15" s="45">
        <v>46.1</v>
      </c>
      <c r="N15" s="45">
        <v>46</v>
      </c>
      <c r="O15" s="45">
        <v>46</v>
      </c>
      <c r="P15" s="45">
        <v>46</v>
      </c>
      <c r="Q15" s="45">
        <v>46</v>
      </c>
      <c r="R15" s="45">
        <v>46</v>
      </c>
      <c r="S15" s="45">
        <v>46</v>
      </c>
      <c r="T15" s="45">
        <v>46</v>
      </c>
      <c r="U15" s="45">
        <v>46</v>
      </c>
      <c r="V15" s="45">
        <v>46</v>
      </c>
      <c r="W15" s="45">
        <v>46</v>
      </c>
      <c r="X15" s="45">
        <v>46</v>
      </c>
      <c r="Y15" s="45">
        <v>46</v>
      </c>
      <c r="Z15" s="45">
        <v>46</v>
      </c>
      <c r="AA15" s="45">
        <v>46</v>
      </c>
      <c r="AB15" s="45">
        <v>46</v>
      </c>
      <c r="AC15" s="45">
        <v>46</v>
      </c>
      <c r="AD15" s="45">
        <v>46</v>
      </c>
      <c r="AE15" s="45">
        <v>46</v>
      </c>
      <c r="AF15" s="45">
        <v>46</v>
      </c>
      <c r="AG15" s="49">
        <v>45</v>
      </c>
      <c r="AH15" s="47">
        <f t="shared" si="2"/>
        <v>46.1</v>
      </c>
      <c r="AI15" s="48">
        <f t="shared" si="3"/>
        <v>46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29</v>
      </c>
      <c r="G17" s="45">
        <v>29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28</v>
      </c>
      <c r="N17" s="45">
        <v>28</v>
      </c>
      <c r="O17" s="45">
        <v>28</v>
      </c>
      <c r="P17" s="45">
        <v>28</v>
      </c>
      <c r="Q17" s="45">
        <v>25.4</v>
      </c>
      <c r="R17" s="45">
        <v>28.4</v>
      </c>
      <c r="S17" s="45">
        <v>28.4</v>
      </c>
      <c r="T17" s="45">
        <v>28.4</v>
      </c>
      <c r="U17" s="45">
        <v>28.4</v>
      </c>
      <c r="V17" s="45">
        <v>28.4</v>
      </c>
      <c r="W17" s="45">
        <v>28.4</v>
      </c>
      <c r="X17" s="45">
        <v>28.4</v>
      </c>
      <c r="Y17" s="45">
        <v>35</v>
      </c>
      <c r="Z17" s="45">
        <v>35</v>
      </c>
      <c r="AA17" s="45">
        <v>29.2</v>
      </c>
      <c r="AB17" s="45">
        <v>29.2</v>
      </c>
      <c r="AC17" s="45">
        <v>29.2</v>
      </c>
      <c r="AD17" s="45">
        <v>29.2</v>
      </c>
      <c r="AE17" s="45">
        <v>29.2</v>
      </c>
      <c r="AF17" s="45">
        <v>28.4</v>
      </c>
      <c r="AG17" s="49">
        <v>42</v>
      </c>
      <c r="AH17" s="47">
        <f t="shared" si="2"/>
        <v>35</v>
      </c>
      <c r="AI17" s="48">
        <f t="shared" si="3"/>
        <v>25.4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37</v>
      </c>
      <c r="C18" s="45">
        <v>37</v>
      </c>
      <c r="D18" s="45">
        <v>37</v>
      </c>
      <c r="E18" s="45">
        <v>37</v>
      </c>
      <c r="F18" s="45">
        <v>37</v>
      </c>
      <c r="G18" s="45">
        <v>37</v>
      </c>
      <c r="H18" s="45">
        <v>37</v>
      </c>
      <c r="I18" s="45">
        <v>37</v>
      </c>
      <c r="J18" s="45">
        <v>37</v>
      </c>
      <c r="K18" s="45">
        <v>37</v>
      </c>
      <c r="L18" s="45">
        <v>37</v>
      </c>
      <c r="M18" s="45">
        <v>37</v>
      </c>
      <c r="N18" s="45">
        <v>37</v>
      </c>
      <c r="O18" s="45">
        <v>37</v>
      </c>
      <c r="P18" s="45">
        <v>37</v>
      </c>
      <c r="Q18" s="45">
        <v>37</v>
      </c>
      <c r="R18" s="45">
        <v>37</v>
      </c>
      <c r="S18" s="45">
        <v>37</v>
      </c>
      <c r="T18" s="45">
        <v>37</v>
      </c>
      <c r="U18" s="45">
        <v>37</v>
      </c>
      <c r="V18" s="45">
        <v>37</v>
      </c>
      <c r="W18" s="45">
        <v>37</v>
      </c>
      <c r="X18" s="45">
        <v>37</v>
      </c>
      <c r="Y18" s="45">
        <v>37</v>
      </c>
      <c r="Z18" s="45">
        <v>37</v>
      </c>
      <c r="AA18" s="45">
        <v>37</v>
      </c>
      <c r="AB18" s="45">
        <v>37</v>
      </c>
      <c r="AC18" s="45">
        <v>37</v>
      </c>
      <c r="AD18" s="45">
        <v>37</v>
      </c>
      <c r="AE18" s="45">
        <v>37</v>
      </c>
      <c r="AF18" s="45">
        <v>37</v>
      </c>
      <c r="AG18" s="49">
        <v>38.46</v>
      </c>
      <c r="AH18" s="47">
        <f t="shared" si="2"/>
        <v>37</v>
      </c>
      <c r="AI18" s="48">
        <f t="shared" si="3"/>
        <v>37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5</v>
      </c>
      <c r="E20" s="45">
        <v>5</v>
      </c>
      <c r="F20" s="45">
        <v>5</v>
      </c>
      <c r="G20" s="45">
        <v>5</v>
      </c>
      <c r="H20" s="45">
        <v>5</v>
      </c>
      <c r="I20" s="45">
        <v>15</v>
      </c>
      <c r="J20" s="45">
        <v>15</v>
      </c>
      <c r="K20" s="45">
        <v>15</v>
      </c>
      <c r="L20" s="45">
        <v>30</v>
      </c>
      <c r="M20" s="45">
        <v>30</v>
      </c>
      <c r="N20" s="45">
        <v>30</v>
      </c>
      <c r="O20" s="45">
        <v>30</v>
      </c>
      <c r="P20" s="45">
        <v>30</v>
      </c>
      <c r="Q20" s="45">
        <v>24</v>
      </c>
      <c r="R20" s="45">
        <v>24</v>
      </c>
      <c r="S20" s="45">
        <v>24</v>
      </c>
      <c r="T20" s="45">
        <v>24</v>
      </c>
      <c r="U20" s="45">
        <v>24</v>
      </c>
      <c r="V20" s="45">
        <v>30</v>
      </c>
      <c r="W20" s="45">
        <v>30</v>
      </c>
      <c r="X20" s="45">
        <v>30</v>
      </c>
      <c r="Y20" s="45">
        <v>30</v>
      </c>
      <c r="Z20" s="45">
        <v>30</v>
      </c>
      <c r="AA20" s="45">
        <v>30</v>
      </c>
      <c r="AB20" s="45">
        <v>25.3</v>
      </c>
      <c r="AC20" s="45">
        <v>25.3</v>
      </c>
      <c r="AD20" s="45">
        <v>15</v>
      </c>
      <c r="AE20" s="45">
        <v>15</v>
      </c>
      <c r="AF20" s="45">
        <v>15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</v>
      </c>
      <c r="C21" s="45">
        <v>33</v>
      </c>
      <c r="D21" s="45">
        <v>33</v>
      </c>
      <c r="E21" s="45">
        <v>33</v>
      </c>
      <c r="F21" s="45">
        <v>33</v>
      </c>
      <c r="G21" s="45">
        <v>33</v>
      </c>
      <c r="H21" s="45">
        <v>33</v>
      </c>
      <c r="I21" s="45">
        <v>33</v>
      </c>
      <c r="J21" s="45">
        <v>33</v>
      </c>
      <c r="K21" s="45">
        <v>33</v>
      </c>
      <c r="L21" s="45">
        <v>33</v>
      </c>
      <c r="M21" s="45">
        <v>13.2</v>
      </c>
      <c r="N21" s="45">
        <v>13.2</v>
      </c>
      <c r="O21" s="45">
        <v>13.2</v>
      </c>
      <c r="P21" s="45">
        <v>13.2</v>
      </c>
      <c r="Q21" s="45">
        <v>13.2</v>
      </c>
      <c r="R21" s="45">
        <v>13.2</v>
      </c>
      <c r="S21" s="45">
        <v>13.2</v>
      </c>
      <c r="T21" s="45">
        <v>13.2</v>
      </c>
      <c r="U21" s="45">
        <v>13.2</v>
      </c>
      <c r="V21" s="45">
        <v>21</v>
      </c>
      <c r="W21" s="45">
        <v>21</v>
      </c>
      <c r="X21" s="45">
        <v>21</v>
      </c>
      <c r="Y21" s="45">
        <v>21</v>
      </c>
      <c r="Z21" s="45">
        <v>21</v>
      </c>
      <c r="AA21" s="45">
        <v>21</v>
      </c>
      <c r="AB21" s="45">
        <v>21</v>
      </c>
      <c r="AC21" s="45">
        <v>21</v>
      </c>
      <c r="AD21" s="45">
        <v>21</v>
      </c>
      <c r="AE21" s="45">
        <v>21</v>
      </c>
      <c r="AF21" s="45">
        <v>21</v>
      </c>
      <c r="AG21" s="49">
        <v>24.2</v>
      </c>
      <c r="AH21" s="47">
        <f t="shared" si="2"/>
        <v>33</v>
      </c>
      <c r="AI21" s="48">
        <f t="shared" si="3"/>
        <v>13.2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28.7</v>
      </c>
      <c r="C22" s="45">
        <v>28.7</v>
      </c>
      <c r="D22" s="45">
        <v>28.7</v>
      </c>
      <c r="E22" s="45">
        <v>28.7</v>
      </c>
      <c r="F22" s="45">
        <v>28.7</v>
      </c>
      <c r="G22" s="45">
        <v>28.7</v>
      </c>
      <c r="H22" s="45">
        <v>28.7</v>
      </c>
      <c r="I22" s="45">
        <v>28.7</v>
      </c>
      <c r="J22" s="45">
        <v>28.7</v>
      </c>
      <c r="K22" s="45">
        <v>28.7</v>
      </c>
      <c r="L22" s="45">
        <v>28.7</v>
      </c>
      <c r="M22" s="45">
        <v>20.5</v>
      </c>
      <c r="N22" s="45">
        <v>20.5</v>
      </c>
      <c r="O22" s="45">
        <v>20.5</v>
      </c>
      <c r="P22" s="45">
        <v>20.5</v>
      </c>
      <c r="Q22" s="45">
        <v>20.5</v>
      </c>
      <c r="R22" s="45">
        <v>20.5</v>
      </c>
      <c r="S22" s="45">
        <v>20.5</v>
      </c>
      <c r="T22" s="45">
        <v>20.5</v>
      </c>
      <c r="U22" s="45">
        <v>20.5</v>
      </c>
      <c r="V22" s="45">
        <v>20.5</v>
      </c>
      <c r="W22" s="45">
        <v>20.5</v>
      </c>
      <c r="X22" s="45">
        <v>20.5</v>
      </c>
      <c r="Y22" s="45">
        <v>20.5</v>
      </c>
      <c r="Z22" s="45">
        <v>20.5</v>
      </c>
      <c r="AA22" s="45">
        <v>20.5</v>
      </c>
      <c r="AB22" s="45">
        <v>20.5</v>
      </c>
      <c r="AC22" s="45">
        <v>20.5</v>
      </c>
      <c r="AD22" s="45">
        <v>20.5</v>
      </c>
      <c r="AE22" s="45">
        <v>20.5</v>
      </c>
      <c r="AF22" s="45">
        <v>20.5</v>
      </c>
      <c r="AG22" s="49">
        <v>28</v>
      </c>
      <c r="AH22" s="47">
        <f t="shared" si="2"/>
        <v>28.7</v>
      </c>
      <c r="AI22" s="48">
        <f t="shared" si="3"/>
        <v>20.5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3</v>
      </c>
      <c r="C23" s="45">
        <v>3</v>
      </c>
      <c r="D23" s="45">
        <v>3</v>
      </c>
      <c r="E23" s="45">
        <v>3</v>
      </c>
      <c r="F23" s="45">
        <v>3</v>
      </c>
      <c r="G23" s="45">
        <v>3</v>
      </c>
      <c r="H23" s="45">
        <v>3</v>
      </c>
      <c r="I23" s="45">
        <v>13.5</v>
      </c>
      <c r="J23" s="45">
        <v>13.5</v>
      </c>
      <c r="K23" s="45">
        <v>18</v>
      </c>
      <c r="L23" s="45">
        <v>27</v>
      </c>
      <c r="M23" s="45">
        <v>27</v>
      </c>
      <c r="N23" s="45">
        <v>27</v>
      </c>
      <c r="O23" s="45">
        <v>27</v>
      </c>
      <c r="P23" s="45">
        <v>27</v>
      </c>
      <c r="Q23" s="45">
        <v>19</v>
      </c>
      <c r="R23" s="45">
        <v>19</v>
      </c>
      <c r="S23" s="45">
        <v>19</v>
      </c>
      <c r="T23" s="45">
        <v>19</v>
      </c>
      <c r="U23" s="45">
        <v>19</v>
      </c>
      <c r="V23" s="45">
        <v>27</v>
      </c>
      <c r="W23" s="45">
        <v>27</v>
      </c>
      <c r="X23" s="45">
        <v>27</v>
      </c>
      <c r="Y23" s="45">
        <v>27</v>
      </c>
      <c r="Z23" s="45">
        <v>27</v>
      </c>
      <c r="AA23" s="45">
        <v>27</v>
      </c>
      <c r="AB23" s="45">
        <v>22.5</v>
      </c>
      <c r="AC23" s="45">
        <v>13</v>
      </c>
      <c r="AD23" s="45">
        <v>13</v>
      </c>
      <c r="AE23" s="45">
        <v>13</v>
      </c>
      <c r="AF23" s="45">
        <v>5</v>
      </c>
      <c r="AG23" s="51">
        <v>30</v>
      </c>
      <c r="AH23" s="47">
        <f t="shared" si="2"/>
        <v>27</v>
      </c>
      <c r="AI23" s="48">
        <f t="shared" si="3"/>
        <v>3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25.2</v>
      </c>
      <c r="C24" s="45">
        <v>25.2</v>
      </c>
      <c r="D24" s="45">
        <v>25.2</v>
      </c>
      <c r="E24" s="45">
        <v>25.2</v>
      </c>
      <c r="F24" s="45">
        <v>25.2</v>
      </c>
      <c r="G24" s="45">
        <v>25.2</v>
      </c>
      <c r="H24" s="45">
        <v>25.2</v>
      </c>
      <c r="I24" s="45">
        <v>25.2</v>
      </c>
      <c r="J24" s="45">
        <v>25.2</v>
      </c>
      <c r="K24" s="45">
        <v>25.2</v>
      </c>
      <c r="L24" s="45">
        <v>25.2</v>
      </c>
      <c r="M24" s="45">
        <v>25.3</v>
      </c>
      <c r="N24" s="45">
        <v>25.3</v>
      </c>
      <c r="O24" s="45">
        <v>25.3</v>
      </c>
      <c r="P24" s="45">
        <v>25.3</v>
      </c>
      <c r="Q24" s="45">
        <v>25.3</v>
      </c>
      <c r="R24" s="45">
        <v>25.3</v>
      </c>
      <c r="S24" s="45">
        <v>25.3</v>
      </c>
      <c r="T24" s="45">
        <v>25.3</v>
      </c>
      <c r="U24" s="45">
        <v>25.3</v>
      </c>
      <c r="V24" s="45">
        <v>25.3</v>
      </c>
      <c r="W24" s="45">
        <v>25.3</v>
      </c>
      <c r="X24" s="45">
        <v>25.3</v>
      </c>
      <c r="Y24" s="45">
        <v>25.3</v>
      </c>
      <c r="Z24" s="45">
        <v>25.3</v>
      </c>
      <c r="AA24" s="45">
        <v>25.3</v>
      </c>
      <c r="AB24" s="45">
        <v>21</v>
      </c>
      <c r="AC24" s="45">
        <v>21</v>
      </c>
      <c r="AD24" s="45">
        <v>21</v>
      </c>
      <c r="AE24" s="45">
        <v>21</v>
      </c>
      <c r="AF24" s="45">
        <v>21</v>
      </c>
      <c r="AG24" s="49">
        <v>25</v>
      </c>
      <c r="AH24" s="47">
        <f t="shared" si="2"/>
        <v>25.3</v>
      </c>
      <c r="AI24" s="48">
        <f t="shared" si="3"/>
        <v>21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3</v>
      </c>
      <c r="C27" s="45">
        <v>3</v>
      </c>
      <c r="D27" s="45">
        <v>5</v>
      </c>
      <c r="E27" s="45">
        <v>5</v>
      </c>
      <c r="F27" s="45">
        <v>5</v>
      </c>
      <c r="G27" s="45">
        <v>5</v>
      </c>
      <c r="H27" s="45">
        <v>5</v>
      </c>
      <c r="I27" s="45">
        <v>12.5</v>
      </c>
      <c r="J27" s="45">
        <v>12.5</v>
      </c>
      <c r="K27" s="45">
        <v>16</v>
      </c>
      <c r="L27" s="45">
        <v>25</v>
      </c>
      <c r="M27" s="45">
        <v>25</v>
      </c>
      <c r="N27" s="45">
        <v>25</v>
      </c>
      <c r="O27" s="45">
        <v>25</v>
      </c>
      <c r="P27" s="45">
        <v>25</v>
      </c>
      <c r="Q27" s="45">
        <v>18</v>
      </c>
      <c r="R27" s="45">
        <v>18</v>
      </c>
      <c r="S27" s="45">
        <v>18</v>
      </c>
      <c r="T27" s="45">
        <v>18</v>
      </c>
      <c r="U27" s="45">
        <v>18</v>
      </c>
      <c r="V27" s="45">
        <v>25</v>
      </c>
      <c r="W27" s="45">
        <v>25</v>
      </c>
      <c r="X27" s="45">
        <v>23</v>
      </c>
      <c r="Y27" s="45">
        <v>25</v>
      </c>
      <c r="Z27" s="45">
        <v>25</v>
      </c>
      <c r="AA27" s="45">
        <v>25</v>
      </c>
      <c r="AB27" s="45">
        <v>25</v>
      </c>
      <c r="AC27" s="45">
        <v>13</v>
      </c>
      <c r="AD27" s="45">
        <v>13</v>
      </c>
      <c r="AE27" s="45">
        <v>13</v>
      </c>
      <c r="AF27" s="45">
        <v>5</v>
      </c>
      <c r="AG27" s="49">
        <v>25</v>
      </c>
      <c r="AH27" s="47">
        <f t="shared" si="2"/>
        <v>25</v>
      </c>
      <c r="AI27" s="48">
        <f t="shared" si="3"/>
        <v>3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57" t="s">
        <v>41</v>
      </c>
      <c r="B33" s="178">
        <v>0</v>
      </c>
      <c r="C33" s="178">
        <v>0</v>
      </c>
      <c r="D33" s="178">
        <v>0</v>
      </c>
      <c r="E33" s="178">
        <v>0</v>
      </c>
      <c r="F33" s="178">
        <v>0</v>
      </c>
      <c r="G33" s="178">
        <v>0</v>
      </c>
      <c r="H33" s="178">
        <v>0</v>
      </c>
      <c r="I33" s="178">
        <v>5</v>
      </c>
      <c r="J33" s="178">
        <v>5</v>
      </c>
      <c r="K33" s="178">
        <v>5</v>
      </c>
      <c r="L33" s="178">
        <v>5</v>
      </c>
      <c r="M33" s="178">
        <v>4</v>
      </c>
      <c r="N33" s="178">
        <v>7</v>
      </c>
      <c r="O33" s="178">
        <v>7</v>
      </c>
      <c r="P33" s="178">
        <v>5</v>
      </c>
      <c r="Q33" s="178">
        <v>5</v>
      </c>
      <c r="R33" s="178">
        <v>5</v>
      </c>
      <c r="S33" s="178">
        <v>10</v>
      </c>
      <c r="T33" s="178">
        <v>5</v>
      </c>
      <c r="U33" s="178">
        <v>5</v>
      </c>
      <c r="V33" s="178">
        <v>8</v>
      </c>
      <c r="W33" s="178">
        <v>8</v>
      </c>
      <c r="X33" s="178">
        <v>8</v>
      </c>
      <c r="Y33" s="178">
        <v>10</v>
      </c>
      <c r="Z33" s="178">
        <v>10</v>
      </c>
      <c r="AA33" s="178">
        <v>10</v>
      </c>
      <c r="AB33" s="178">
        <v>10</v>
      </c>
      <c r="AC33" s="178">
        <v>5</v>
      </c>
      <c r="AD33" s="178">
        <v>5</v>
      </c>
      <c r="AE33" s="178">
        <v>5</v>
      </c>
      <c r="AF33" s="178">
        <v>5</v>
      </c>
      <c r="AG33" s="17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57" t="s">
        <v>42</v>
      </c>
      <c r="B34" s="178">
        <v>0</v>
      </c>
      <c r="C34" s="178">
        <v>0</v>
      </c>
      <c r="D34" s="178">
        <v>0</v>
      </c>
      <c r="E34" s="178">
        <v>0</v>
      </c>
      <c r="F34" s="178">
        <v>0</v>
      </c>
      <c r="G34" s="178">
        <v>0</v>
      </c>
      <c r="H34" s="178">
        <v>0</v>
      </c>
      <c r="I34" s="178">
        <v>4</v>
      </c>
      <c r="J34" s="178">
        <v>4</v>
      </c>
      <c r="K34" s="178">
        <v>4</v>
      </c>
      <c r="L34" s="178">
        <v>4</v>
      </c>
      <c r="M34" s="178">
        <v>3.5</v>
      </c>
      <c r="N34" s="178">
        <v>5</v>
      </c>
      <c r="O34" s="178">
        <v>5</v>
      </c>
      <c r="P34" s="178">
        <v>4</v>
      </c>
      <c r="Q34" s="178">
        <v>4</v>
      </c>
      <c r="R34" s="178">
        <v>4</v>
      </c>
      <c r="S34" s="178">
        <v>4</v>
      </c>
      <c r="T34" s="178">
        <v>4</v>
      </c>
      <c r="U34" s="178">
        <v>4</v>
      </c>
      <c r="V34" s="178">
        <v>4</v>
      </c>
      <c r="W34" s="178">
        <v>4</v>
      </c>
      <c r="X34" s="178">
        <v>4</v>
      </c>
      <c r="Y34" s="178">
        <v>9</v>
      </c>
      <c r="Z34" s="178">
        <v>9</v>
      </c>
      <c r="AA34" s="178">
        <v>9</v>
      </c>
      <c r="AB34" s="178">
        <v>9</v>
      </c>
      <c r="AC34" s="178">
        <v>5</v>
      </c>
      <c r="AD34" s="178">
        <v>5</v>
      </c>
      <c r="AE34" s="178">
        <v>5</v>
      </c>
      <c r="AF34" s="178">
        <v>0</v>
      </c>
      <c r="AG34" s="17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15.3</v>
      </c>
      <c r="C35" s="45">
        <v>15.3</v>
      </c>
      <c r="D35" s="45">
        <v>15.3</v>
      </c>
      <c r="E35" s="45">
        <v>15.3</v>
      </c>
      <c r="F35" s="45">
        <v>15.3</v>
      </c>
      <c r="G35" s="45">
        <v>15.3</v>
      </c>
      <c r="H35" s="45">
        <v>15.3</v>
      </c>
      <c r="I35" s="45">
        <v>15.3</v>
      </c>
      <c r="J35" s="45">
        <v>15.3</v>
      </c>
      <c r="K35" s="45">
        <v>15.3</v>
      </c>
      <c r="L35" s="45">
        <v>15.3</v>
      </c>
      <c r="M35" s="45">
        <v>15.3</v>
      </c>
      <c r="N35" s="45">
        <v>15.3</v>
      </c>
      <c r="O35" s="45">
        <v>15.3</v>
      </c>
      <c r="P35" s="45">
        <v>15.3</v>
      </c>
      <c r="Q35" s="45">
        <v>15.3</v>
      </c>
      <c r="R35" s="45">
        <v>15.3</v>
      </c>
      <c r="S35" s="45">
        <v>15.3</v>
      </c>
      <c r="T35" s="45">
        <v>15.3</v>
      </c>
      <c r="U35" s="45">
        <v>15.3</v>
      </c>
      <c r="V35" s="45">
        <v>15.3</v>
      </c>
      <c r="W35" s="45">
        <v>15.3</v>
      </c>
      <c r="X35" s="45">
        <v>15.3</v>
      </c>
      <c r="Y35" s="45">
        <v>15.3</v>
      </c>
      <c r="Z35" s="45">
        <v>15.3</v>
      </c>
      <c r="AA35" s="45">
        <v>15.3</v>
      </c>
      <c r="AB35" s="45">
        <v>15.3</v>
      </c>
      <c r="AC35" s="45">
        <v>15.3</v>
      </c>
      <c r="AD35" s="45">
        <v>15.3</v>
      </c>
      <c r="AE35" s="45">
        <v>15.3</v>
      </c>
      <c r="AF35" s="45">
        <v>15.3</v>
      </c>
      <c r="AG35" s="49">
        <v>14.9</v>
      </c>
      <c r="AH35" s="47">
        <f t="shared" si="2"/>
        <v>15.3</v>
      </c>
      <c r="AI35" s="48">
        <f t="shared" si="3"/>
        <v>15.3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>
        <v>3</v>
      </c>
      <c r="I39" s="45">
        <v>6</v>
      </c>
      <c r="J39" s="45">
        <v>6</v>
      </c>
      <c r="K39" s="45">
        <v>9</v>
      </c>
      <c r="L39" s="45">
        <v>12</v>
      </c>
      <c r="M39" s="45">
        <v>12</v>
      </c>
      <c r="N39" s="45">
        <v>12</v>
      </c>
      <c r="O39" s="45">
        <v>12</v>
      </c>
      <c r="P39" s="45">
        <v>12</v>
      </c>
      <c r="Q39" s="45">
        <v>9.6</v>
      </c>
      <c r="R39" s="45">
        <v>9.6</v>
      </c>
      <c r="S39" s="45">
        <v>9.6</v>
      </c>
      <c r="T39" s="45">
        <v>9.6</v>
      </c>
      <c r="U39" s="45">
        <v>9.6</v>
      </c>
      <c r="V39" s="45">
        <v>12</v>
      </c>
      <c r="W39" s="45">
        <v>12</v>
      </c>
      <c r="X39" s="45">
        <v>10</v>
      </c>
      <c r="Y39" s="45">
        <v>10</v>
      </c>
      <c r="Z39" s="45">
        <v>10</v>
      </c>
      <c r="AA39" s="45">
        <v>10</v>
      </c>
      <c r="AB39" s="45">
        <v>10</v>
      </c>
      <c r="AC39" s="45">
        <v>6</v>
      </c>
      <c r="AD39" s="45">
        <v>6</v>
      </c>
      <c r="AE39" s="45">
        <v>6</v>
      </c>
      <c r="AF39" s="45">
        <v>3</v>
      </c>
      <c r="AG39" s="49">
        <v>12</v>
      </c>
      <c r="AH39" s="47">
        <f t="shared" si="2"/>
        <v>12</v>
      </c>
      <c r="AI39" s="48">
        <f t="shared" si="3"/>
        <v>3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8</v>
      </c>
      <c r="C40" s="45">
        <v>8</v>
      </c>
      <c r="D40" s="45">
        <v>8</v>
      </c>
      <c r="E40" s="45">
        <v>8</v>
      </c>
      <c r="F40" s="45">
        <v>0</v>
      </c>
      <c r="G40" s="45">
        <v>0</v>
      </c>
      <c r="H40" s="45">
        <v>0</v>
      </c>
      <c r="I40" s="45">
        <v>0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9.3000000000000007</v>
      </c>
      <c r="AG40" s="49">
        <v>12</v>
      </c>
      <c r="AH40" s="47">
        <f t="shared" si="2"/>
        <v>12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3</v>
      </c>
      <c r="C41" s="45">
        <v>3</v>
      </c>
      <c r="D41" s="45">
        <v>3</v>
      </c>
      <c r="E41" s="45">
        <v>3</v>
      </c>
      <c r="F41" s="45">
        <v>3</v>
      </c>
      <c r="G41" s="45">
        <v>3</v>
      </c>
      <c r="H41" s="45">
        <v>3</v>
      </c>
      <c r="I41" s="45">
        <v>5</v>
      </c>
      <c r="J41" s="45">
        <v>5</v>
      </c>
      <c r="K41" s="45">
        <v>5</v>
      </c>
      <c r="L41" s="45">
        <v>5</v>
      </c>
      <c r="M41" s="45">
        <v>5</v>
      </c>
      <c r="N41" s="45">
        <v>5</v>
      </c>
      <c r="O41" s="45">
        <v>5</v>
      </c>
      <c r="P41" s="45">
        <v>5</v>
      </c>
      <c r="Q41" s="45">
        <v>5</v>
      </c>
      <c r="R41" s="45">
        <v>5</v>
      </c>
      <c r="S41" s="45">
        <v>5</v>
      </c>
      <c r="T41" s="45">
        <v>5</v>
      </c>
      <c r="U41" s="45">
        <v>5</v>
      </c>
      <c r="V41" s="45">
        <v>5</v>
      </c>
      <c r="W41" s="45">
        <v>5</v>
      </c>
      <c r="X41" s="45">
        <v>5</v>
      </c>
      <c r="Y41" s="45">
        <v>5</v>
      </c>
      <c r="Z41" s="45">
        <v>5</v>
      </c>
      <c r="AA41" s="45">
        <v>5</v>
      </c>
      <c r="AB41" s="45">
        <v>5</v>
      </c>
      <c r="AC41" s="45">
        <v>5</v>
      </c>
      <c r="AD41" s="45">
        <v>5</v>
      </c>
      <c r="AE41" s="45">
        <v>5</v>
      </c>
      <c r="AF41" s="45">
        <v>5</v>
      </c>
      <c r="AG41" s="49">
        <v>12</v>
      </c>
      <c r="AH41" s="47">
        <f t="shared" si="2"/>
        <v>5</v>
      </c>
      <c r="AI41" s="48">
        <f t="shared" si="3"/>
        <v>3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>
        <v>8</v>
      </c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8.8000000000000007</v>
      </c>
      <c r="C45" s="45">
        <v>8.8000000000000007</v>
      </c>
      <c r="D45" s="45">
        <v>8.8000000000000007</v>
      </c>
      <c r="E45" s="45">
        <v>8.8000000000000007</v>
      </c>
      <c r="F45" s="45">
        <v>8.8000000000000007</v>
      </c>
      <c r="G45" s="45">
        <v>8.8000000000000007</v>
      </c>
      <c r="H45" s="45">
        <v>8.8000000000000007</v>
      </c>
      <c r="I45" s="45">
        <v>8.8000000000000007</v>
      </c>
      <c r="J45" s="45">
        <v>8.8000000000000007</v>
      </c>
      <c r="K45" s="45">
        <v>8.8000000000000007</v>
      </c>
      <c r="L45" s="45">
        <v>8.8000000000000007</v>
      </c>
      <c r="M45" s="45">
        <v>8.8000000000000007</v>
      </c>
      <c r="N45" s="45">
        <v>8.8000000000000007</v>
      </c>
      <c r="O45" s="45">
        <v>8.8000000000000007</v>
      </c>
      <c r="P45" s="45">
        <v>8.8000000000000007</v>
      </c>
      <c r="Q45" s="45">
        <v>8.8000000000000007</v>
      </c>
      <c r="R45" s="45">
        <v>8.8000000000000007</v>
      </c>
      <c r="S45" s="45">
        <v>8.8000000000000007</v>
      </c>
      <c r="T45" s="45">
        <v>8.8000000000000007</v>
      </c>
      <c r="U45" s="45">
        <v>8.8000000000000007</v>
      </c>
      <c r="V45" s="45">
        <v>8.8000000000000007</v>
      </c>
      <c r="W45" s="45">
        <v>8.8000000000000007</v>
      </c>
      <c r="X45" s="45">
        <v>8.8000000000000007</v>
      </c>
      <c r="Y45" s="45">
        <v>8.8000000000000007</v>
      </c>
      <c r="Z45" s="45">
        <v>8.8000000000000007</v>
      </c>
      <c r="AA45" s="45">
        <v>8.8000000000000007</v>
      </c>
      <c r="AB45" s="45">
        <v>8.8000000000000007</v>
      </c>
      <c r="AC45" s="45">
        <v>8.8000000000000007</v>
      </c>
      <c r="AD45" s="45">
        <v>8.8000000000000007</v>
      </c>
      <c r="AE45" s="45">
        <v>8.8000000000000007</v>
      </c>
      <c r="AF45" s="45">
        <v>8.8000000000000007</v>
      </c>
      <c r="AG45" s="54">
        <v>10</v>
      </c>
      <c r="AH45" s="47">
        <f t="shared" si="2"/>
        <v>8.8000000000000007</v>
      </c>
      <c r="AI45" s="48">
        <f t="shared" si="3"/>
        <v>8.8000000000000007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9.42</v>
      </c>
      <c r="C46" s="45">
        <v>9.42</v>
      </c>
      <c r="D46" s="45">
        <v>9.42</v>
      </c>
      <c r="E46" s="45">
        <v>9.42</v>
      </c>
      <c r="F46" s="45">
        <v>9.42</v>
      </c>
      <c r="G46" s="45">
        <v>9.42</v>
      </c>
      <c r="H46" s="45">
        <v>9.42</v>
      </c>
      <c r="I46" s="45">
        <v>9.42</v>
      </c>
      <c r="J46" s="45">
        <v>9.42</v>
      </c>
      <c r="K46" s="45">
        <v>9.42</v>
      </c>
      <c r="L46" s="45">
        <v>9.42</v>
      </c>
      <c r="M46" s="45">
        <v>9.42</v>
      </c>
      <c r="N46" s="45">
        <v>9.42</v>
      </c>
      <c r="O46" s="45">
        <v>9.42</v>
      </c>
      <c r="P46" s="45">
        <v>9.42</v>
      </c>
      <c r="Q46" s="45">
        <v>9.42</v>
      </c>
      <c r="R46" s="45">
        <v>9.42</v>
      </c>
      <c r="S46" s="45">
        <v>9.42</v>
      </c>
      <c r="T46" s="45">
        <v>9.42</v>
      </c>
      <c r="U46" s="45">
        <v>9.42</v>
      </c>
      <c r="V46" s="45">
        <v>9.42</v>
      </c>
      <c r="W46" s="45">
        <v>9.42</v>
      </c>
      <c r="X46" s="45">
        <v>9.42</v>
      </c>
      <c r="Y46" s="45">
        <v>9.42</v>
      </c>
      <c r="Z46" s="45">
        <v>9.42</v>
      </c>
      <c r="AA46" s="45">
        <v>9.42</v>
      </c>
      <c r="AB46" s="45">
        <v>9.42</v>
      </c>
      <c r="AC46" s="45">
        <v>9.42</v>
      </c>
      <c r="AD46" s="45">
        <v>9.42</v>
      </c>
      <c r="AE46" s="45">
        <v>9.42</v>
      </c>
      <c r="AF46" s="45">
        <v>9.42</v>
      </c>
      <c r="AG46" s="54">
        <v>10</v>
      </c>
      <c r="AH46" s="47">
        <f t="shared" si="2"/>
        <v>9.42</v>
      </c>
      <c r="AI46" s="48">
        <f t="shared" si="3"/>
        <v>9.42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131.80000000000001</v>
      </c>
      <c r="C49" s="56">
        <v>131.80000000000001</v>
      </c>
      <c r="D49" s="56">
        <v>131.80000000000001</v>
      </c>
      <c r="E49" s="56">
        <v>130.19999999999999</v>
      </c>
      <c r="F49" s="56">
        <v>130.19999999999999</v>
      </c>
      <c r="G49" s="56">
        <v>130.19999999999999</v>
      </c>
      <c r="H49" s="56">
        <v>126.1</v>
      </c>
      <c r="I49" s="56">
        <v>126.1</v>
      </c>
      <c r="J49" s="56">
        <v>126.1</v>
      </c>
      <c r="K49" s="56">
        <v>126.9</v>
      </c>
      <c r="L49" s="56">
        <v>126.3</v>
      </c>
      <c r="M49" s="58">
        <f>90.4+35.2</f>
        <v>125.60000000000001</v>
      </c>
      <c r="N49" s="58">
        <f>84.7+28.2</f>
        <v>112.9</v>
      </c>
      <c r="O49" s="58">
        <f>91.3+35.8</f>
        <v>127.1</v>
      </c>
      <c r="P49" s="58">
        <f>90.4+35.8</f>
        <v>126.2</v>
      </c>
      <c r="Q49" s="58">
        <f>87.7+36.1</f>
        <v>123.80000000000001</v>
      </c>
      <c r="R49" s="58">
        <f>91.8+36</f>
        <v>127.8</v>
      </c>
      <c r="S49" s="58">
        <f>91.8+36</f>
        <v>127.8</v>
      </c>
      <c r="T49" s="58">
        <f>91.8+36</f>
        <v>127.8</v>
      </c>
      <c r="U49" s="58">
        <f>35.6+91.7</f>
        <v>127.30000000000001</v>
      </c>
      <c r="V49" s="58">
        <v>126.2</v>
      </c>
      <c r="W49" s="58">
        <v>126.2</v>
      </c>
      <c r="X49" s="58">
        <v>126.2</v>
      </c>
      <c r="Y49" s="58">
        <v>121.6</v>
      </c>
      <c r="Z49" s="58">
        <v>123.4</v>
      </c>
      <c r="AA49" s="58">
        <v>124.9</v>
      </c>
      <c r="AB49" s="58">
        <v>124.9</v>
      </c>
      <c r="AC49" s="58">
        <v>124.9</v>
      </c>
      <c r="AD49" s="58">
        <v>124.9</v>
      </c>
      <c r="AE49" s="58">
        <v>124.9</v>
      </c>
      <c r="AF49" s="58">
        <v>124.9</v>
      </c>
      <c r="AG49" s="54">
        <v>240</v>
      </c>
      <c r="AH49" s="47">
        <f t="shared" si="2"/>
        <v>131.80000000000001</v>
      </c>
      <c r="AI49" s="48">
        <f t="shared" si="3"/>
        <v>112.9</v>
      </c>
      <c r="AK49" s="50"/>
    </row>
    <row r="50" spans="1:41" ht="15.75" thickBot="1" x14ac:dyDescent="0.3">
      <c r="A50" s="59" t="s">
        <v>58</v>
      </c>
      <c r="B50" s="60">
        <f>SUM(B11:B48)</f>
        <v>1109.1199999999999</v>
      </c>
      <c r="C50" s="60">
        <f t="shared" ref="C50:AE50" si="4">SUM(C11:C48)</f>
        <v>1109.1199999999999</v>
      </c>
      <c r="D50" s="60">
        <f>SUM(D11:D48)</f>
        <v>1111.1199999999999</v>
      </c>
      <c r="E50" s="60">
        <f>SUM(E11:E48)</f>
        <v>1111.1199999999999</v>
      </c>
      <c r="F50" s="60">
        <f t="shared" si="4"/>
        <v>1103.1199999999999</v>
      </c>
      <c r="G50" s="60">
        <f t="shared" ref="G50:L50" si="5">SUM(G11:G48)</f>
        <v>1103.1199999999999</v>
      </c>
      <c r="H50" s="60">
        <f t="shared" si="5"/>
        <v>1103.1199999999999</v>
      </c>
      <c r="I50" s="60">
        <f t="shared" si="5"/>
        <v>1145.1199999999999</v>
      </c>
      <c r="J50" s="60">
        <f t="shared" si="5"/>
        <v>1157.1199999999999</v>
      </c>
      <c r="K50" s="60">
        <f t="shared" si="5"/>
        <v>1168.1199999999999</v>
      </c>
      <c r="L50" s="60">
        <f t="shared" si="5"/>
        <v>1204.1199999999999</v>
      </c>
      <c r="M50" s="60">
        <f t="shared" si="4"/>
        <v>1174.2199999999998</v>
      </c>
      <c r="N50" s="60">
        <f t="shared" si="4"/>
        <v>1178.6199999999999</v>
      </c>
      <c r="O50" s="60">
        <f t="shared" si="4"/>
        <v>1178.52</v>
      </c>
      <c r="P50" s="60">
        <f t="shared" si="4"/>
        <v>1175.6199999999999</v>
      </c>
      <c r="Q50" s="60">
        <f t="shared" si="4"/>
        <v>1149.6199999999999</v>
      </c>
      <c r="R50" s="60">
        <f t="shared" si="4"/>
        <v>1152.6199999999999</v>
      </c>
      <c r="S50" s="60">
        <f t="shared" si="4"/>
        <v>1067.32</v>
      </c>
      <c r="T50" s="60">
        <f t="shared" si="4"/>
        <v>1062.32</v>
      </c>
      <c r="U50" s="60">
        <f t="shared" si="4"/>
        <v>1122.6199999999999</v>
      </c>
      <c r="V50" s="60">
        <f t="shared" si="4"/>
        <v>1156.8199999999997</v>
      </c>
      <c r="W50" s="60">
        <f t="shared" si="4"/>
        <v>1186.52</v>
      </c>
      <c r="X50" s="60">
        <f t="shared" si="4"/>
        <v>1182.52</v>
      </c>
      <c r="Y50" s="60">
        <f t="shared" si="4"/>
        <v>1198.1199999999999</v>
      </c>
      <c r="Z50" s="60">
        <f t="shared" si="4"/>
        <v>1198.1199999999999</v>
      </c>
      <c r="AA50" s="60">
        <f t="shared" si="4"/>
        <v>1192.3199999999997</v>
      </c>
      <c r="AB50" s="60">
        <f>SUM(AB11:AB48)</f>
        <v>1178.8199999999997</v>
      </c>
      <c r="AC50" s="60">
        <f>SUM(AC11:AC48)</f>
        <v>1144.3199999999997</v>
      </c>
      <c r="AD50" s="60">
        <f>SUM(AD11:AD48)</f>
        <v>1134.02</v>
      </c>
      <c r="AE50" s="60">
        <f t="shared" si="4"/>
        <v>1134.02</v>
      </c>
      <c r="AF50" s="60">
        <f>SUM(AF11:AF48)</f>
        <v>1106.52</v>
      </c>
      <c r="AG50" s="61">
        <f>SUM(AG13:AG48)</f>
        <v>922.14</v>
      </c>
      <c r="AH50" s="47">
        <f t="shared" si="2"/>
        <v>1204.1199999999999</v>
      </c>
      <c r="AI50" s="48">
        <f t="shared" si="3"/>
        <v>1062.32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50</v>
      </c>
      <c r="F52" s="64">
        <v>50</v>
      </c>
      <c r="G52" s="64">
        <v>50</v>
      </c>
      <c r="H52" s="64">
        <v>50</v>
      </c>
      <c r="I52" s="64">
        <v>60</v>
      </c>
      <c r="J52" s="64">
        <v>60</v>
      </c>
      <c r="K52" s="64">
        <v>60</v>
      </c>
      <c r="L52" s="64">
        <v>60</v>
      </c>
      <c r="M52" s="64">
        <v>52</v>
      </c>
      <c r="N52" s="64">
        <v>52</v>
      </c>
      <c r="O52" s="64">
        <v>48</v>
      </c>
      <c r="P52" s="64">
        <v>48</v>
      </c>
      <c r="Q52" s="64">
        <v>48</v>
      </c>
      <c r="R52" s="64">
        <v>48</v>
      </c>
      <c r="S52" s="64">
        <v>48</v>
      </c>
      <c r="T52" s="64">
        <v>48</v>
      </c>
      <c r="U52" s="64">
        <v>48</v>
      </c>
      <c r="V52" s="64">
        <v>48</v>
      </c>
      <c r="W52" s="64">
        <v>48</v>
      </c>
      <c r="X52" s="64">
        <v>48</v>
      </c>
      <c r="Y52" s="64">
        <v>48</v>
      </c>
      <c r="Z52" s="64">
        <v>48</v>
      </c>
      <c r="AA52" s="64">
        <v>48</v>
      </c>
      <c r="AB52" s="64">
        <v>48</v>
      </c>
      <c r="AC52" s="64">
        <v>48</v>
      </c>
      <c r="AD52" s="64">
        <v>48</v>
      </c>
      <c r="AE52" s="64">
        <v>48</v>
      </c>
      <c r="AF52" s="64">
        <v>48</v>
      </c>
      <c r="AG52" s="54">
        <v>60</v>
      </c>
      <c r="AH52" s="47">
        <f t="shared" si="2"/>
        <v>60</v>
      </c>
      <c r="AI52" s="48">
        <f t="shared" si="3"/>
        <v>48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22.5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538</v>
      </c>
      <c r="C54" s="60">
        <f t="shared" si="6"/>
        <v>538</v>
      </c>
      <c r="D54" s="60">
        <f t="shared" si="6"/>
        <v>538</v>
      </c>
      <c r="E54" s="60">
        <f>SUM(E51:E53)</f>
        <v>528</v>
      </c>
      <c r="F54" s="60">
        <f t="shared" si="6"/>
        <v>528</v>
      </c>
      <c r="G54" s="60">
        <f t="shared" ref="G54:L54" si="7">SUM(G51:G53)</f>
        <v>528</v>
      </c>
      <c r="H54" s="60">
        <f t="shared" si="7"/>
        <v>528</v>
      </c>
      <c r="I54" s="60">
        <f t="shared" si="7"/>
        <v>538</v>
      </c>
      <c r="J54" s="60">
        <f t="shared" si="7"/>
        <v>538</v>
      </c>
      <c r="K54" s="60">
        <f t="shared" si="7"/>
        <v>538</v>
      </c>
      <c r="L54" s="60">
        <f t="shared" si="7"/>
        <v>538</v>
      </c>
      <c r="M54" s="60">
        <f t="shared" si="6"/>
        <v>530</v>
      </c>
      <c r="N54" s="60">
        <f t="shared" si="6"/>
        <v>530</v>
      </c>
      <c r="O54" s="60">
        <f t="shared" si="6"/>
        <v>526</v>
      </c>
      <c r="P54" s="60">
        <f t="shared" si="6"/>
        <v>526</v>
      </c>
      <c r="Q54" s="60">
        <f t="shared" si="6"/>
        <v>526</v>
      </c>
      <c r="R54" s="60">
        <f t="shared" si="6"/>
        <v>526</v>
      </c>
      <c r="S54" s="60">
        <f t="shared" si="6"/>
        <v>526</v>
      </c>
      <c r="T54" s="60">
        <f t="shared" si="6"/>
        <v>526</v>
      </c>
      <c r="U54" s="60">
        <f t="shared" si="6"/>
        <v>526.5</v>
      </c>
      <c r="V54" s="60">
        <f t="shared" si="6"/>
        <v>526.5</v>
      </c>
      <c r="W54" s="60">
        <f t="shared" si="6"/>
        <v>526.5</v>
      </c>
      <c r="X54" s="60">
        <f t="shared" si="6"/>
        <v>526.5</v>
      </c>
      <c r="Y54" s="60">
        <f t="shared" si="6"/>
        <v>526.5</v>
      </c>
      <c r="Z54" s="60">
        <f t="shared" si="6"/>
        <v>526.5</v>
      </c>
      <c r="AA54" s="60">
        <f t="shared" si="6"/>
        <v>526.5</v>
      </c>
      <c r="AB54" s="60">
        <f>SUM(AB51:AB53)</f>
        <v>526.5</v>
      </c>
      <c r="AC54" s="60">
        <f>SUM(AC51:AC53)</f>
        <v>526.5</v>
      </c>
      <c r="AD54" s="60">
        <f>SUM(AD51:AD53)</f>
        <v>526.5</v>
      </c>
      <c r="AE54" s="60">
        <f t="shared" si="6"/>
        <v>526.5</v>
      </c>
      <c r="AF54" s="60">
        <f>SUM(AF51:AF53)</f>
        <v>526.5</v>
      </c>
      <c r="AG54" s="61">
        <f t="shared" si="6"/>
        <v>538.1</v>
      </c>
      <c r="AH54" s="47">
        <f t="shared" si="2"/>
        <v>538</v>
      </c>
      <c r="AI54" s="48">
        <f t="shared" si="3"/>
        <v>526</v>
      </c>
      <c r="AK54" s="50"/>
    </row>
    <row r="55" spans="1:41" x14ac:dyDescent="0.25">
      <c r="A55" s="44" t="s">
        <v>63</v>
      </c>
      <c r="B55" s="45">
        <v>139</v>
      </c>
      <c r="C55" s="45">
        <v>139</v>
      </c>
      <c r="D55" s="45">
        <v>139</v>
      </c>
      <c r="E55" s="45">
        <v>139</v>
      </c>
      <c r="F55" s="45">
        <v>139</v>
      </c>
      <c r="G55" s="45">
        <v>139</v>
      </c>
      <c r="H55" s="45">
        <v>139</v>
      </c>
      <c r="I55" s="45">
        <v>139</v>
      </c>
      <c r="J55" s="45">
        <v>139</v>
      </c>
      <c r="K55" s="45">
        <v>139</v>
      </c>
      <c r="L55" s="45">
        <v>139</v>
      </c>
      <c r="M55" s="45">
        <v>143.1</v>
      </c>
      <c r="N55" s="45">
        <v>143.4</v>
      </c>
      <c r="O55" s="45">
        <v>143.69999999999999</v>
      </c>
      <c r="P55" s="45">
        <v>143.4</v>
      </c>
      <c r="Q55" s="45">
        <v>143.19999999999999</v>
      </c>
      <c r="R55" s="45">
        <v>143.19999999999999</v>
      </c>
      <c r="S55" s="45">
        <v>142.9</v>
      </c>
      <c r="T55" s="45">
        <v>142.9</v>
      </c>
      <c r="U55" s="45">
        <v>143.19999999999999</v>
      </c>
      <c r="V55" s="45">
        <v>143.19999999999999</v>
      </c>
      <c r="W55" s="45">
        <v>143.19999999999999</v>
      </c>
      <c r="X55" s="45">
        <v>143.19999999999999</v>
      </c>
      <c r="Y55" s="45">
        <v>143.19999999999999</v>
      </c>
      <c r="Z55" s="45">
        <v>143.19999999999999</v>
      </c>
      <c r="AA55" s="45">
        <v>143.19999999999999</v>
      </c>
      <c r="AB55" s="45">
        <v>143.69999999999999</v>
      </c>
      <c r="AC55" s="45">
        <v>143.69999999999999</v>
      </c>
      <c r="AD55" s="45">
        <v>143.69999999999999</v>
      </c>
      <c r="AE55" s="45">
        <v>143.69999999999999</v>
      </c>
      <c r="AF55" s="45">
        <v>143.69999999999999</v>
      </c>
      <c r="AG55" s="51">
        <v>144</v>
      </c>
      <c r="AH55" s="47">
        <f t="shared" si="2"/>
        <v>143.69999999999999</v>
      </c>
      <c r="AI55" s="48">
        <f t="shared" si="3"/>
        <v>139</v>
      </c>
      <c r="AK55" s="50"/>
    </row>
    <row r="56" spans="1:41" x14ac:dyDescent="0.25">
      <c r="A56" s="53" t="s">
        <v>64</v>
      </c>
      <c r="B56" s="64">
        <v>70.7</v>
      </c>
      <c r="C56" s="64">
        <v>70.7</v>
      </c>
      <c r="D56" s="64">
        <v>70.7</v>
      </c>
      <c r="E56" s="64">
        <v>70.7</v>
      </c>
      <c r="F56" s="64">
        <v>70.7</v>
      </c>
      <c r="G56" s="64">
        <v>70.7</v>
      </c>
      <c r="H56" s="64">
        <v>70.7</v>
      </c>
      <c r="I56" s="64">
        <v>70.7</v>
      </c>
      <c r="J56" s="64">
        <v>70.7</v>
      </c>
      <c r="K56" s="64">
        <v>70.7</v>
      </c>
      <c r="L56" s="64">
        <v>70.7</v>
      </c>
      <c r="M56" s="64">
        <v>69.400000000000006</v>
      </c>
      <c r="N56" s="64">
        <v>69.400000000000006</v>
      </c>
      <c r="O56" s="64">
        <v>66.099999999999994</v>
      </c>
      <c r="P56" s="64">
        <v>68.900000000000006</v>
      </c>
      <c r="Q56" s="64">
        <v>70.599999999999994</v>
      </c>
      <c r="R56" s="64">
        <v>70.7</v>
      </c>
      <c r="S56" s="45">
        <v>70.099999999999994</v>
      </c>
      <c r="T56" s="45">
        <v>70.099999999999994</v>
      </c>
      <c r="U56" s="45">
        <v>70.8</v>
      </c>
      <c r="V56" s="45">
        <v>35.4</v>
      </c>
      <c r="W56" s="45">
        <v>60</v>
      </c>
      <c r="X56" s="45">
        <v>69.900000000000006</v>
      </c>
      <c r="Y56" s="45">
        <v>69.900000000000006</v>
      </c>
      <c r="Z56" s="45">
        <v>69.900000000000006</v>
      </c>
      <c r="AA56" s="45">
        <v>69.900000000000006</v>
      </c>
      <c r="AB56" s="45">
        <v>69.900000000000006</v>
      </c>
      <c r="AC56" s="45">
        <v>69.900000000000006</v>
      </c>
      <c r="AD56" s="45">
        <v>69.900000000000006</v>
      </c>
      <c r="AE56" s="45">
        <v>69.900000000000006</v>
      </c>
      <c r="AF56" s="45">
        <v>69.900000000000006</v>
      </c>
      <c r="AG56" s="54">
        <v>70</v>
      </c>
      <c r="AH56" s="47">
        <f t="shared" si="2"/>
        <v>70.8</v>
      </c>
      <c r="AI56" s="48">
        <f t="shared" si="3"/>
        <v>35.4</v>
      </c>
      <c r="AK56" s="50"/>
    </row>
    <row r="57" spans="1:41" x14ac:dyDescent="0.25">
      <c r="A57" s="53" t="s">
        <v>65</v>
      </c>
      <c r="B57" s="64">
        <v>65.5</v>
      </c>
      <c r="C57" s="64">
        <v>65.5</v>
      </c>
      <c r="D57" s="64">
        <v>65.5</v>
      </c>
      <c r="E57" s="64">
        <v>65.5</v>
      </c>
      <c r="F57" s="64">
        <v>65.5</v>
      </c>
      <c r="G57" s="64">
        <v>65.5</v>
      </c>
      <c r="H57" s="64">
        <v>65.5</v>
      </c>
      <c r="I57" s="64">
        <v>65.5</v>
      </c>
      <c r="J57" s="64">
        <v>65.5</v>
      </c>
      <c r="K57" s="64">
        <v>65.5</v>
      </c>
      <c r="L57" s="64">
        <v>65.5</v>
      </c>
      <c r="M57" s="64">
        <v>65.3</v>
      </c>
      <c r="N57" s="64">
        <v>65.400000000000006</v>
      </c>
      <c r="O57" s="64">
        <v>65.8</v>
      </c>
      <c r="P57" s="64">
        <v>65.5</v>
      </c>
      <c r="Q57" s="64">
        <v>64.900000000000006</v>
      </c>
      <c r="R57" s="64">
        <v>65.599999999999994</v>
      </c>
      <c r="S57" s="45">
        <v>65.900000000000006</v>
      </c>
      <c r="T57" s="45">
        <v>65.900000000000006</v>
      </c>
      <c r="U57" s="45">
        <v>65.599999999999994</v>
      </c>
      <c r="V57" s="45">
        <v>65.599999999999994</v>
      </c>
      <c r="W57" s="45">
        <v>65.599999999999994</v>
      </c>
      <c r="X57" s="45">
        <v>65.599999999999994</v>
      </c>
      <c r="Y57" s="45">
        <v>65.599999999999994</v>
      </c>
      <c r="Z57" s="45">
        <v>65.599999999999994</v>
      </c>
      <c r="AA57" s="45">
        <v>65.599999999999994</v>
      </c>
      <c r="AB57" s="45">
        <v>65.599999999999994</v>
      </c>
      <c r="AC57" s="45">
        <v>65.599999999999994</v>
      </c>
      <c r="AD57" s="45">
        <v>65.599999999999994</v>
      </c>
      <c r="AE57" s="45">
        <v>65.599999999999994</v>
      </c>
      <c r="AF57" s="45">
        <v>65.599999999999994</v>
      </c>
      <c r="AG57" s="54">
        <v>69</v>
      </c>
      <c r="AH57" s="47">
        <f t="shared" si="2"/>
        <v>65.900000000000006</v>
      </c>
      <c r="AI57" s="48">
        <f t="shared" si="3"/>
        <v>64.900000000000006</v>
      </c>
      <c r="AK57" s="50"/>
    </row>
    <row r="58" spans="1:41" x14ac:dyDescent="0.25">
      <c r="A58" s="53" t="s">
        <v>66</v>
      </c>
      <c r="B58" s="64">
        <v>61.5</v>
      </c>
      <c r="C58" s="64">
        <v>61.5</v>
      </c>
      <c r="D58" s="64">
        <v>61.5</v>
      </c>
      <c r="E58" s="64">
        <v>61.5</v>
      </c>
      <c r="F58" s="64">
        <v>61.5</v>
      </c>
      <c r="G58" s="64">
        <v>61.5</v>
      </c>
      <c r="H58" s="64">
        <v>61.5</v>
      </c>
      <c r="I58" s="64">
        <v>61.5</v>
      </c>
      <c r="J58" s="64">
        <v>61.5</v>
      </c>
      <c r="K58" s="64">
        <v>61.5</v>
      </c>
      <c r="L58" s="64">
        <v>61.5</v>
      </c>
      <c r="M58" s="64">
        <v>60</v>
      </c>
      <c r="N58" s="64">
        <v>60</v>
      </c>
      <c r="O58" s="64">
        <v>60</v>
      </c>
      <c r="P58" s="64">
        <v>61</v>
      </c>
      <c r="Q58" s="64">
        <v>60</v>
      </c>
      <c r="R58" s="64">
        <v>60</v>
      </c>
      <c r="S58" s="45">
        <v>59.7</v>
      </c>
      <c r="T58" s="45">
        <v>59.7</v>
      </c>
      <c r="U58" s="45">
        <v>59.7</v>
      </c>
      <c r="V58" s="45">
        <v>60</v>
      </c>
      <c r="W58" s="45">
        <v>60</v>
      </c>
      <c r="X58" s="45">
        <v>60</v>
      </c>
      <c r="Y58" s="45">
        <v>60</v>
      </c>
      <c r="Z58" s="45">
        <v>60</v>
      </c>
      <c r="AA58" s="45">
        <v>60</v>
      </c>
      <c r="AB58" s="45">
        <v>60</v>
      </c>
      <c r="AC58" s="45">
        <v>60</v>
      </c>
      <c r="AD58" s="45">
        <v>60</v>
      </c>
      <c r="AE58" s="45">
        <v>60</v>
      </c>
      <c r="AF58" s="45">
        <v>60</v>
      </c>
      <c r="AG58" s="54">
        <v>60</v>
      </c>
      <c r="AH58" s="47">
        <f t="shared" si="2"/>
        <v>61.5</v>
      </c>
      <c r="AI58" s="48">
        <f t="shared" si="3"/>
        <v>59.7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30</v>
      </c>
      <c r="F59" s="64">
        <v>30</v>
      </c>
      <c r="G59" s="64">
        <v>30</v>
      </c>
      <c r="H59" s="64">
        <v>30</v>
      </c>
      <c r="I59" s="64">
        <v>30</v>
      </c>
      <c r="J59" s="64">
        <v>26</v>
      </c>
      <c r="K59" s="64">
        <v>29.5</v>
      </c>
      <c r="L59" s="64">
        <v>30</v>
      </c>
      <c r="M59" s="64">
        <v>29</v>
      </c>
      <c r="N59" s="64">
        <v>29.2</v>
      </c>
      <c r="O59" s="64">
        <v>29</v>
      </c>
      <c r="P59" s="64">
        <v>29</v>
      </c>
      <c r="Q59" s="64">
        <v>29</v>
      </c>
      <c r="R59" s="64">
        <v>29</v>
      </c>
      <c r="S59" s="45">
        <v>30</v>
      </c>
      <c r="T59" s="45">
        <v>30</v>
      </c>
      <c r="U59" s="45">
        <v>30</v>
      </c>
      <c r="V59" s="45">
        <v>30</v>
      </c>
      <c r="W59" s="45">
        <v>30</v>
      </c>
      <c r="X59" s="45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26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0.8</v>
      </c>
      <c r="K60" s="64">
        <v>0.9</v>
      </c>
      <c r="L60" s="64">
        <v>0.8</v>
      </c>
      <c r="M60" s="64">
        <v>11.3</v>
      </c>
      <c r="N60" s="64">
        <v>13.7</v>
      </c>
      <c r="O60" s="64">
        <v>16.600000000000001</v>
      </c>
      <c r="P60" s="64">
        <v>18.3</v>
      </c>
      <c r="Q60" s="64">
        <v>18.2</v>
      </c>
      <c r="R60" s="64">
        <v>17.5</v>
      </c>
      <c r="S60" s="64">
        <v>17.5</v>
      </c>
      <c r="T60" s="64">
        <v>9.6</v>
      </c>
      <c r="U60" s="45">
        <v>6.6</v>
      </c>
      <c r="V60" s="45">
        <v>0.8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18.3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10</v>
      </c>
      <c r="Q61" s="64">
        <v>10</v>
      </c>
      <c r="R61" s="64">
        <v>10</v>
      </c>
      <c r="S61" s="64">
        <v>10</v>
      </c>
      <c r="T61" s="64">
        <v>10</v>
      </c>
      <c r="U61" s="64">
        <v>10</v>
      </c>
      <c r="V61" s="64">
        <v>10</v>
      </c>
      <c r="W61" s="64">
        <v>10</v>
      </c>
      <c r="X61" s="64">
        <v>10</v>
      </c>
      <c r="Y61" s="64">
        <v>10</v>
      </c>
      <c r="Z61" s="64">
        <v>10</v>
      </c>
      <c r="AA61" s="64">
        <v>16</v>
      </c>
      <c r="AB61" s="64">
        <v>16</v>
      </c>
      <c r="AC61" s="64">
        <v>16</v>
      </c>
      <c r="AD61" s="64">
        <v>16</v>
      </c>
      <c r="AE61" s="64">
        <v>16</v>
      </c>
      <c r="AF61" s="64">
        <v>16</v>
      </c>
      <c r="AG61" s="54">
        <v>24</v>
      </c>
      <c r="AH61" s="47">
        <f t="shared" si="2"/>
        <v>16</v>
      </c>
      <c r="AI61" s="48">
        <f t="shared" si="3"/>
        <v>10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9.9</v>
      </c>
      <c r="C63" s="64">
        <v>9.9</v>
      </c>
      <c r="D63" s="64">
        <v>9.9</v>
      </c>
      <c r="E63" s="64">
        <v>9.9</v>
      </c>
      <c r="F63" s="64">
        <v>9.9</v>
      </c>
      <c r="G63" s="64">
        <v>9.9</v>
      </c>
      <c r="H63" s="64">
        <v>9.9</v>
      </c>
      <c r="I63" s="64">
        <v>9.9</v>
      </c>
      <c r="J63" s="64">
        <v>9.9</v>
      </c>
      <c r="K63" s="64">
        <v>9.9</v>
      </c>
      <c r="L63" s="64">
        <v>9.9</v>
      </c>
      <c r="M63" s="64">
        <v>9.8000000000000007</v>
      </c>
      <c r="N63" s="64">
        <v>9.8000000000000007</v>
      </c>
      <c r="O63" s="64">
        <v>9.8000000000000007</v>
      </c>
      <c r="P63" s="64">
        <v>10</v>
      </c>
      <c r="Q63" s="64">
        <v>8.6999999999999993</v>
      </c>
      <c r="R63" s="64">
        <v>8.4</v>
      </c>
      <c r="S63" s="64">
        <v>8.4</v>
      </c>
      <c r="T63" s="64">
        <v>8.4</v>
      </c>
      <c r="U63" s="64">
        <v>8.4</v>
      </c>
      <c r="V63" s="64">
        <v>8.4</v>
      </c>
      <c r="W63" s="64">
        <v>8.4</v>
      </c>
      <c r="X63" s="64">
        <v>8.4</v>
      </c>
      <c r="Y63" s="64">
        <v>8.4</v>
      </c>
      <c r="Z63" s="64">
        <v>8.4</v>
      </c>
      <c r="AA63" s="64">
        <v>8.4</v>
      </c>
      <c r="AB63" s="64">
        <v>8.4</v>
      </c>
      <c r="AC63" s="64">
        <v>8.4</v>
      </c>
      <c r="AD63" s="64">
        <v>8.4</v>
      </c>
      <c r="AE63" s="64">
        <v>8.4</v>
      </c>
      <c r="AF63" s="64">
        <v>8.4</v>
      </c>
      <c r="AG63" s="54">
        <v>14.1</v>
      </c>
      <c r="AH63" s="47">
        <f t="shared" si="2"/>
        <v>10</v>
      </c>
      <c r="AI63" s="48">
        <f t="shared" si="3"/>
        <v>8.4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13.7</v>
      </c>
      <c r="C64" s="64">
        <v>13.7</v>
      </c>
      <c r="D64" s="64">
        <v>13.7</v>
      </c>
      <c r="E64" s="64">
        <v>13.7</v>
      </c>
      <c r="F64" s="64">
        <v>13.7</v>
      </c>
      <c r="G64" s="64">
        <v>3.8</v>
      </c>
      <c r="H64" s="64">
        <v>13.7</v>
      </c>
      <c r="I64" s="64">
        <v>13.7</v>
      </c>
      <c r="J64" s="64">
        <v>13.7</v>
      </c>
      <c r="K64" s="64">
        <v>13.7</v>
      </c>
      <c r="L64" s="64">
        <v>13.7</v>
      </c>
      <c r="M64" s="64">
        <v>13.6</v>
      </c>
      <c r="N64" s="64">
        <v>13.6</v>
      </c>
      <c r="O64" s="64">
        <v>13.6</v>
      </c>
      <c r="P64" s="64">
        <v>13.6</v>
      </c>
      <c r="Q64" s="64">
        <v>13.6</v>
      </c>
      <c r="R64" s="64">
        <v>13.5</v>
      </c>
      <c r="S64" s="64">
        <v>13.5</v>
      </c>
      <c r="T64" s="64">
        <v>13.5</v>
      </c>
      <c r="U64" s="64">
        <v>13.5</v>
      </c>
      <c r="V64" s="64">
        <v>13.5</v>
      </c>
      <c r="W64" s="64">
        <v>13.5</v>
      </c>
      <c r="X64" s="64">
        <v>13.5</v>
      </c>
      <c r="Y64" s="64">
        <v>13.5</v>
      </c>
      <c r="Z64" s="64">
        <v>13.5</v>
      </c>
      <c r="AA64" s="64">
        <v>13.5</v>
      </c>
      <c r="AB64" s="64">
        <v>13.5</v>
      </c>
      <c r="AC64" s="64">
        <v>13.5</v>
      </c>
      <c r="AD64" s="64">
        <v>13.5</v>
      </c>
      <c r="AE64" s="64">
        <v>13.5</v>
      </c>
      <c r="AF64" s="64">
        <v>13.5</v>
      </c>
      <c r="AG64" s="54">
        <v>14</v>
      </c>
      <c r="AH64" s="47">
        <f t="shared" si="2"/>
        <v>13.7</v>
      </c>
      <c r="AI64" s="48">
        <f t="shared" si="3"/>
        <v>3.8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>
        <v>9.1999999999999993</v>
      </c>
      <c r="AC65" s="64">
        <v>9.1999999999999993</v>
      </c>
      <c r="AD65" s="64">
        <v>9.1999999999999993</v>
      </c>
      <c r="AE65" s="64">
        <v>9.1999999999999993</v>
      </c>
      <c r="AF65" s="64">
        <v>9.1999999999999993</v>
      </c>
      <c r="AG65" s="54">
        <v>10.050000000000001</v>
      </c>
      <c r="AH65" s="47">
        <f t="shared" si="2"/>
        <v>9.1999999999999993</v>
      </c>
      <c r="AI65" s="48">
        <f t="shared" si="3"/>
        <v>9.1999999999999993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430.23999999999995</v>
      </c>
      <c r="C68" s="60">
        <f t="shared" si="8"/>
        <v>430.23999999999995</v>
      </c>
      <c r="D68" s="60">
        <f t="shared" si="8"/>
        <v>430.23999999999995</v>
      </c>
      <c r="E68" s="60">
        <f>SUM(E55:E67)</f>
        <v>430.23999999999995</v>
      </c>
      <c r="F68" s="60">
        <f t="shared" si="8"/>
        <v>430.23999999999995</v>
      </c>
      <c r="G68" s="60">
        <f t="shared" ref="G68:L68" si="9">SUM(G55:G67)</f>
        <v>420.34</v>
      </c>
      <c r="H68" s="60">
        <f t="shared" si="9"/>
        <v>430.23999999999995</v>
      </c>
      <c r="I68" s="60">
        <f t="shared" si="9"/>
        <v>430.23999999999995</v>
      </c>
      <c r="J68" s="60">
        <f t="shared" si="9"/>
        <v>427.03999999999996</v>
      </c>
      <c r="K68" s="60">
        <f t="shared" si="9"/>
        <v>430.63999999999993</v>
      </c>
      <c r="L68" s="60">
        <f t="shared" si="9"/>
        <v>431.03999999999996</v>
      </c>
      <c r="M68" s="60">
        <f t="shared" si="8"/>
        <v>441.44000000000005</v>
      </c>
      <c r="N68" s="60">
        <f t="shared" si="8"/>
        <v>444.44000000000005</v>
      </c>
      <c r="O68" s="60">
        <f t="shared" si="8"/>
        <v>444.54</v>
      </c>
      <c r="P68" s="60">
        <f t="shared" si="8"/>
        <v>443.64000000000004</v>
      </c>
      <c r="Q68" s="60">
        <f t="shared" si="8"/>
        <v>442.14</v>
      </c>
      <c r="R68" s="60">
        <f t="shared" si="8"/>
        <v>441.84</v>
      </c>
      <c r="S68" s="60">
        <f t="shared" si="8"/>
        <v>441.93999999999994</v>
      </c>
      <c r="T68" s="60">
        <f t="shared" si="8"/>
        <v>434.03999999999996</v>
      </c>
      <c r="U68" s="60">
        <f t="shared" si="8"/>
        <v>431.74</v>
      </c>
      <c r="V68" s="60">
        <f t="shared" si="8"/>
        <v>390.84</v>
      </c>
      <c r="W68" s="60">
        <f t="shared" si="8"/>
        <v>414.63999999999993</v>
      </c>
      <c r="X68" s="60">
        <f t="shared" si="8"/>
        <v>424.53999999999996</v>
      </c>
      <c r="Y68" s="60">
        <f t="shared" si="8"/>
        <v>424.53999999999996</v>
      </c>
      <c r="Z68" s="60">
        <f t="shared" si="8"/>
        <v>424.53999999999996</v>
      </c>
      <c r="AA68" s="60">
        <f t="shared" si="8"/>
        <v>430.53999999999996</v>
      </c>
      <c r="AB68" s="60">
        <f>SUM(AB55:AB67)</f>
        <v>431.03999999999996</v>
      </c>
      <c r="AC68" s="60">
        <f>SUM(AC55:AC67)</f>
        <v>431.03999999999996</v>
      </c>
      <c r="AD68" s="60">
        <f>SUM(AD55:AD67)</f>
        <v>431.03999999999996</v>
      </c>
      <c r="AE68" s="60">
        <f t="shared" si="8"/>
        <v>431.03999999999996</v>
      </c>
      <c r="AF68" s="60">
        <f>SUM(AF55:AF67)</f>
        <v>431.03999999999996</v>
      </c>
      <c r="AG68" s="61">
        <f t="shared" si="8"/>
        <v>489.91</v>
      </c>
      <c r="AH68" s="47">
        <f t="shared" si="2"/>
        <v>444.54</v>
      </c>
      <c r="AI68" s="48">
        <f t="shared" si="3"/>
        <v>390.84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>
        <v>0</v>
      </c>
      <c r="M69" s="45">
        <v>20</v>
      </c>
      <c r="N69" s="45">
        <v>14</v>
      </c>
      <c r="O69" s="45">
        <v>11</v>
      </c>
      <c r="P69" s="45">
        <v>14</v>
      </c>
      <c r="Q69" s="45">
        <v>13.8</v>
      </c>
      <c r="R69" s="45">
        <v>13.8</v>
      </c>
      <c r="S69" s="45">
        <v>13.8</v>
      </c>
      <c r="T69" s="45">
        <v>29.1</v>
      </c>
      <c r="U69" s="45">
        <v>10.6</v>
      </c>
      <c r="V69" s="45">
        <v>29.2</v>
      </c>
      <c r="W69" s="45">
        <v>29.2</v>
      </c>
      <c r="X69" s="45">
        <v>29.2</v>
      </c>
      <c r="Y69" s="45">
        <v>60</v>
      </c>
      <c r="Z69" s="45">
        <v>60</v>
      </c>
      <c r="AA69" s="45">
        <v>34</v>
      </c>
      <c r="AB69" s="45">
        <v>40</v>
      </c>
      <c r="AC69" s="45">
        <v>30</v>
      </c>
      <c r="AD69" s="45">
        <v>30</v>
      </c>
      <c r="AE69" s="45">
        <v>0</v>
      </c>
      <c r="AF69" s="45">
        <v>0</v>
      </c>
      <c r="AG69" s="51">
        <v>60</v>
      </c>
      <c r="AH69" s="47">
        <f t="shared" si="2"/>
        <v>60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>
        <v>4.9000000000000004</v>
      </c>
      <c r="M70" s="64">
        <v>14.2</v>
      </c>
      <c r="N70" s="64">
        <v>5.9</v>
      </c>
      <c r="O70" s="64">
        <v>14</v>
      </c>
      <c r="P70" s="64">
        <v>10.9</v>
      </c>
      <c r="Q70" s="64">
        <v>6.4</v>
      </c>
      <c r="R70" s="64">
        <v>6.4</v>
      </c>
      <c r="S70" s="64">
        <v>6.7</v>
      </c>
      <c r="T70" s="64">
        <v>15</v>
      </c>
      <c r="U70" s="64">
        <v>5.9</v>
      </c>
      <c r="V70" s="64">
        <v>15.2</v>
      </c>
      <c r="W70" s="64">
        <v>15.2</v>
      </c>
      <c r="X70" s="64">
        <v>15.2</v>
      </c>
      <c r="Y70" s="64">
        <v>28.7</v>
      </c>
      <c r="Z70" s="64">
        <v>28.7</v>
      </c>
      <c r="AA70" s="64">
        <v>23.7</v>
      </c>
      <c r="AB70" s="64">
        <v>16.7</v>
      </c>
      <c r="AC70" s="64">
        <v>15</v>
      </c>
      <c r="AD70" s="64">
        <v>15</v>
      </c>
      <c r="AE70" s="64">
        <v>0</v>
      </c>
      <c r="AF70" s="64">
        <v>0</v>
      </c>
      <c r="AG70" s="54">
        <v>32</v>
      </c>
      <c r="AH70" s="47">
        <f t="shared" si="2"/>
        <v>28.7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>
        <v>1.8</v>
      </c>
      <c r="M71" s="66">
        <v>5.2</v>
      </c>
      <c r="N71" s="66">
        <v>2.1</v>
      </c>
      <c r="O71" s="66">
        <v>5.0999999999999996</v>
      </c>
      <c r="P71" s="66">
        <v>4</v>
      </c>
      <c r="Q71" s="66">
        <v>2.2999999999999998</v>
      </c>
      <c r="R71" s="66">
        <v>2.2999999999999998</v>
      </c>
      <c r="S71" s="66">
        <v>2.4</v>
      </c>
      <c r="T71" s="66">
        <v>5.5</v>
      </c>
      <c r="U71" s="66">
        <v>2.1</v>
      </c>
      <c r="V71" s="66">
        <v>5.6</v>
      </c>
      <c r="W71" s="66">
        <v>5.6</v>
      </c>
      <c r="X71" s="66">
        <v>5.6</v>
      </c>
      <c r="Y71" s="66">
        <v>10.5</v>
      </c>
      <c r="Z71" s="66">
        <v>10.5</v>
      </c>
      <c r="AA71" s="66">
        <v>8.6999999999999993</v>
      </c>
      <c r="AB71" s="66">
        <v>6.1</v>
      </c>
      <c r="AC71" s="66">
        <v>5</v>
      </c>
      <c r="AD71" s="66">
        <v>5</v>
      </c>
      <c r="AE71" s="66">
        <v>0</v>
      </c>
      <c r="AF71" s="66">
        <v>0</v>
      </c>
      <c r="AG71" s="67">
        <v>14</v>
      </c>
      <c r="AH71" s="47">
        <f t="shared" si="2"/>
        <v>10.5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f t="shared" ref="M72:AE72" si="10">M69+M70+M71</f>
        <v>39.400000000000006</v>
      </c>
      <c r="N72" s="60">
        <f t="shared" si="10"/>
        <v>22</v>
      </c>
      <c r="O72" s="60">
        <f t="shared" si="10"/>
        <v>30.1</v>
      </c>
      <c r="P72" s="60">
        <f t="shared" si="10"/>
        <v>28.9</v>
      </c>
      <c r="Q72" s="60">
        <f t="shared" si="10"/>
        <v>22.500000000000004</v>
      </c>
      <c r="R72" s="60">
        <f t="shared" si="10"/>
        <v>22.500000000000004</v>
      </c>
      <c r="S72" s="60">
        <f t="shared" si="10"/>
        <v>22.9</v>
      </c>
      <c r="T72" s="60">
        <f t="shared" si="10"/>
        <v>49.6</v>
      </c>
      <c r="U72" s="60">
        <f t="shared" si="10"/>
        <v>18.600000000000001</v>
      </c>
      <c r="V72" s="60">
        <f t="shared" si="10"/>
        <v>50</v>
      </c>
      <c r="W72" s="60">
        <f t="shared" si="10"/>
        <v>50</v>
      </c>
      <c r="X72" s="60">
        <f t="shared" si="10"/>
        <v>50</v>
      </c>
      <c r="Y72" s="60">
        <f t="shared" si="10"/>
        <v>99.2</v>
      </c>
      <c r="Z72" s="60">
        <f t="shared" si="10"/>
        <v>99.2</v>
      </c>
      <c r="AA72" s="60">
        <f t="shared" si="10"/>
        <v>66.400000000000006</v>
      </c>
      <c r="AB72" s="60">
        <f>AB69+AB70+AB71</f>
        <v>62.800000000000004</v>
      </c>
      <c r="AC72" s="60">
        <f>AC69+AC70+AC71</f>
        <v>50</v>
      </c>
      <c r="AD72" s="60">
        <f>AD69+AD70+AD71</f>
        <v>50</v>
      </c>
      <c r="AE72" s="60">
        <f t="shared" si="10"/>
        <v>0</v>
      </c>
      <c r="AF72" s="60">
        <f>AF69+AF70+AF71</f>
        <v>0</v>
      </c>
      <c r="AG72" s="61">
        <f>SUM(AG69:AG71)</f>
        <v>106</v>
      </c>
      <c r="AH72" s="47">
        <f t="shared" si="2"/>
        <v>99.2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-50</v>
      </c>
      <c r="C73" s="45">
        <v>-53</v>
      </c>
      <c r="D73" s="45">
        <v>-55</v>
      </c>
      <c r="E73" s="45">
        <v>-65.3</v>
      </c>
      <c r="F73" s="45">
        <v>-66.900000000000006</v>
      </c>
      <c r="G73" s="45">
        <v>69.900000000000006</v>
      </c>
      <c r="H73" s="45">
        <v>-69</v>
      </c>
      <c r="I73" s="45">
        <v>-74</v>
      </c>
      <c r="J73" s="45">
        <v>-73.900000000000006</v>
      </c>
      <c r="K73" s="45">
        <v>-61.6</v>
      </c>
      <c r="L73" s="45">
        <v>-62</v>
      </c>
      <c r="M73" s="45">
        <v>-64</v>
      </c>
      <c r="N73" s="45">
        <v>-65.5</v>
      </c>
      <c r="O73" s="45">
        <v>-64</v>
      </c>
      <c r="P73" s="45">
        <v>-59.5</v>
      </c>
      <c r="Q73" s="45">
        <v>-57</v>
      </c>
      <c r="R73" s="45">
        <v>-57</v>
      </c>
      <c r="S73" s="45">
        <v>-52.6</v>
      </c>
      <c r="T73" s="45">
        <v>-59.7</v>
      </c>
      <c r="U73" s="45">
        <v>-53.2</v>
      </c>
      <c r="V73" s="45">
        <v>-64.599999999999994</v>
      </c>
      <c r="W73" s="45">
        <v>-59</v>
      </c>
      <c r="X73" s="45">
        <v>-59.7</v>
      </c>
      <c r="Y73" s="45">
        <v>-26.6</v>
      </c>
      <c r="Z73" s="45">
        <v>-3.4</v>
      </c>
      <c r="AA73" s="45">
        <v>-3.9</v>
      </c>
      <c r="AB73" s="45">
        <v>2.7</v>
      </c>
      <c r="AC73" s="45">
        <v>0</v>
      </c>
      <c r="AD73" s="45">
        <v>0</v>
      </c>
      <c r="AE73" s="45">
        <v>-40</v>
      </c>
      <c r="AF73" s="45">
        <v>-42</v>
      </c>
      <c r="AG73" s="51"/>
      <c r="AH73" s="47">
        <f t="shared" si="2"/>
        <v>69.900000000000006</v>
      </c>
      <c r="AI73" s="48">
        <f t="shared" si="3"/>
        <v>-74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-511</v>
      </c>
      <c r="C75" s="64">
        <v>-527</v>
      </c>
      <c r="D75" s="64">
        <v>-551</v>
      </c>
      <c r="E75" s="64">
        <v>-574</v>
      </c>
      <c r="F75" s="64">
        <v>-575</v>
      </c>
      <c r="G75" s="64">
        <v>-562</v>
      </c>
      <c r="H75" s="64">
        <v>-556</v>
      </c>
      <c r="I75" s="64">
        <v>-619</v>
      </c>
      <c r="J75" s="64">
        <v>-565</v>
      </c>
      <c r="K75" s="64">
        <v>-569</v>
      </c>
      <c r="L75" s="64">
        <v>-555</v>
      </c>
      <c r="M75" s="64">
        <v>-536</v>
      </c>
      <c r="N75" s="64">
        <v>-480</v>
      </c>
      <c r="O75" s="64">
        <v>-496</v>
      </c>
      <c r="P75" s="64">
        <v>-468.7</v>
      </c>
      <c r="Q75" s="64">
        <v>-462.8</v>
      </c>
      <c r="R75" s="64">
        <v>-491.3</v>
      </c>
      <c r="S75" s="64">
        <v>-367.1</v>
      </c>
      <c r="T75" s="64">
        <v>-411</v>
      </c>
      <c r="U75" s="64">
        <v>-457.8</v>
      </c>
      <c r="V75" s="64">
        <v>-485</v>
      </c>
      <c r="W75" s="64">
        <v>-489</v>
      </c>
      <c r="X75" s="64">
        <v>-437</v>
      </c>
      <c r="Y75" s="64">
        <v>-397</v>
      </c>
      <c r="Z75" s="64">
        <v>-424</v>
      </c>
      <c r="AA75" s="64">
        <v>-417</v>
      </c>
      <c r="AB75" s="64">
        <v>-421.1</v>
      </c>
      <c r="AC75" s="64">
        <v>-420</v>
      </c>
      <c r="AD75" s="64">
        <v>-418</v>
      </c>
      <c r="AE75" s="64">
        <v>-450</v>
      </c>
      <c r="AF75" s="64">
        <v>-430</v>
      </c>
      <c r="AG75" s="74"/>
      <c r="AH75" s="47">
        <f t="shared" si="2"/>
        <v>-367.1</v>
      </c>
      <c r="AI75" s="48">
        <f t="shared" si="3"/>
        <v>-619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64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1">MAX(B77:AF77)</f>
        <v>0</v>
      </c>
      <c r="AI77" s="48">
        <f t="shared" ref="AI77:AI120" si="12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64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1"/>
        <v>0</v>
      </c>
      <c r="AI78" s="48">
        <f t="shared" si="12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64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1"/>
        <v>0</v>
      </c>
      <c r="AI79" s="48">
        <f t="shared" si="12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64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1"/>
        <v>0</v>
      </c>
      <c r="AI80" s="48">
        <f t="shared" si="12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64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1"/>
        <v>0</v>
      </c>
      <c r="AI81" s="48">
        <f t="shared" si="12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64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1"/>
        <v>0</v>
      </c>
      <c r="AI82" s="48">
        <f t="shared" si="12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64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1"/>
        <v>0</v>
      </c>
      <c r="AI83" s="48">
        <f t="shared" si="12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E84" si="13">SUMIF(B73:B83,"&gt;0")</f>
        <v>0</v>
      </c>
      <c r="C84" s="60">
        <f t="shared" si="13"/>
        <v>0</v>
      </c>
      <c r="D84" s="60">
        <f t="shared" si="13"/>
        <v>0</v>
      </c>
      <c r="E84" s="60">
        <f>SUMIF(E73:E83,"&gt;0")</f>
        <v>0</v>
      </c>
      <c r="F84" s="60">
        <f t="shared" si="13"/>
        <v>0</v>
      </c>
      <c r="G84" s="60">
        <f t="shared" ref="G84:L84" si="14">SUMIF(G73:G83,"&gt;0")</f>
        <v>69.900000000000006</v>
      </c>
      <c r="H84" s="60">
        <f t="shared" si="14"/>
        <v>0</v>
      </c>
      <c r="I84" s="60">
        <f t="shared" si="14"/>
        <v>0</v>
      </c>
      <c r="J84" s="60">
        <f t="shared" si="14"/>
        <v>0</v>
      </c>
      <c r="K84" s="60">
        <f t="shared" si="14"/>
        <v>0</v>
      </c>
      <c r="L84" s="60">
        <f t="shared" si="14"/>
        <v>0</v>
      </c>
      <c r="M84" s="60">
        <f t="shared" si="13"/>
        <v>0</v>
      </c>
      <c r="N84" s="60">
        <f t="shared" si="13"/>
        <v>0</v>
      </c>
      <c r="O84" s="60">
        <f t="shared" si="13"/>
        <v>0</v>
      </c>
      <c r="P84" s="60">
        <f t="shared" si="13"/>
        <v>0</v>
      </c>
      <c r="Q84" s="60">
        <f t="shared" si="13"/>
        <v>0</v>
      </c>
      <c r="R84" s="60">
        <f t="shared" si="13"/>
        <v>0</v>
      </c>
      <c r="S84" s="60">
        <f t="shared" si="13"/>
        <v>0</v>
      </c>
      <c r="T84" s="60">
        <f t="shared" si="13"/>
        <v>0</v>
      </c>
      <c r="U84" s="60">
        <f t="shared" si="13"/>
        <v>0</v>
      </c>
      <c r="V84" s="60">
        <f t="shared" si="13"/>
        <v>0</v>
      </c>
      <c r="W84" s="60">
        <f t="shared" si="13"/>
        <v>0</v>
      </c>
      <c r="X84" s="60">
        <f t="shared" si="13"/>
        <v>0</v>
      </c>
      <c r="Y84" s="60">
        <f t="shared" si="13"/>
        <v>0</v>
      </c>
      <c r="Z84" s="60">
        <f t="shared" si="13"/>
        <v>0</v>
      </c>
      <c r="AA84" s="60">
        <f t="shared" si="13"/>
        <v>0</v>
      </c>
      <c r="AB84" s="60">
        <f>SUMIF(AB73:AB83,"&gt;0")</f>
        <v>2.7</v>
      </c>
      <c r="AC84" s="60">
        <f>SUMIF(AC73:AC83,"&gt;0")</f>
        <v>0</v>
      </c>
      <c r="AD84" s="60">
        <f>SUMIF(AD73:AD83,"&gt;0")</f>
        <v>0</v>
      </c>
      <c r="AE84" s="60">
        <f t="shared" si="13"/>
        <v>0</v>
      </c>
      <c r="AF84" s="60">
        <f>SUMIF(AF73:AF83,"&gt;0")</f>
        <v>0</v>
      </c>
      <c r="AG84" s="87">
        <f>SUM(AG73:AG83)</f>
        <v>0</v>
      </c>
      <c r="AH84" s="47">
        <f t="shared" si="11"/>
        <v>69.900000000000006</v>
      </c>
      <c r="AI84" s="48">
        <f t="shared" si="12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1"/>
        <v>0</v>
      </c>
      <c r="AI85" s="48">
        <f t="shared" si="12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1"/>
        <v>0</v>
      </c>
      <c r="AI86" s="48">
        <f t="shared" si="12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1"/>
        <v>0</v>
      </c>
      <c r="AI87" s="48">
        <f t="shared" si="12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1"/>
        <v>0</v>
      </c>
      <c r="AI88" s="48">
        <f t="shared" si="12"/>
        <v>0</v>
      </c>
    </row>
    <row r="89" spans="1:40" ht="15.75" thickBot="1" x14ac:dyDescent="0.3">
      <c r="A89" s="73" t="s">
        <v>100</v>
      </c>
      <c r="B89" s="94">
        <f>B50+B54+B72+B68+B84+B88</f>
        <v>2077.3599999999997</v>
      </c>
      <c r="C89" s="94">
        <f t="shared" ref="C89:AG89" si="15">C50+C54+C72+C68+C84+C88</f>
        <v>2077.3599999999997</v>
      </c>
      <c r="D89" s="94">
        <f t="shared" si="15"/>
        <v>2079.3599999999997</v>
      </c>
      <c r="E89" s="94">
        <f>E50+E54+E72+E68+E84+E88</f>
        <v>2069.3599999999997</v>
      </c>
      <c r="F89" s="94">
        <f t="shared" si="15"/>
        <v>2061.3599999999997</v>
      </c>
      <c r="G89" s="94">
        <f t="shared" ref="G89:L89" si="16">G50+G54+G72+G68+G84+G88</f>
        <v>2121.36</v>
      </c>
      <c r="H89" s="94">
        <f t="shared" si="16"/>
        <v>2061.3599999999997</v>
      </c>
      <c r="I89" s="94">
        <f t="shared" si="16"/>
        <v>2113.3599999999997</v>
      </c>
      <c r="J89" s="94">
        <f t="shared" si="16"/>
        <v>2122.16</v>
      </c>
      <c r="K89" s="94">
        <f t="shared" si="16"/>
        <v>2136.7599999999998</v>
      </c>
      <c r="L89" s="94">
        <f t="shared" si="16"/>
        <v>2173.16</v>
      </c>
      <c r="M89" s="94">
        <f t="shared" si="15"/>
        <v>2185.06</v>
      </c>
      <c r="N89" s="94">
        <f t="shared" si="15"/>
        <v>2175.06</v>
      </c>
      <c r="O89" s="94">
        <f t="shared" si="15"/>
        <v>2179.16</v>
      </c>
      <c r="P89" s="94">
        <f t="shared" si="15"/>
        <v>2174.16</v>
      </c>
      <c r="Q89" s="94">
        <f t="shared" si="15"/>
        <v>2140.2599999999998</v>
      </c>
      <c r="R89" s="94">
        <f t="shared" si="15"/>
        <v>2142.96</v>
      </c>
      <c r="S89" s="94">
        <f t="shared" si="15"/>
        <v>2058.16</v>
      </c>
      <c r="T89" s="94">
        <f t="shared" si="15"/>
        <v>2071.96</v>
      </c>
      <c r="U89" s="94">
        <f t="shared" si="15"/>
        <v>2099.46</v>
      </c>
      <c r="V89" s="94">
        <f t="shared" si="15"/>
        <v>2124.16</v>
      </c>
      <c r="W89" s="94">
        <f t="shared" si="15"/>
        <v>2177.66</v>
      </c>
      <c r="X89" s="94">
        <f t="shared" si="15"/>
        <v>2183.56</v>
      </c>
      <c r="Y89" s="94">
        <f t="shared" si="15"/>
        <v>2248.3599999999997</v>
      </c>
      <c r="Z89" s="94">
        <f t="shared" si="15"/>
        <v>2248.3599999999997</v>
      </c>
      <c r="AA89" s="94">
        <f t="shared" si="15"/>
        <v>2215.7599999999998</v>
      </c>
      <c r="AB89" s="94">
        <f>AB50+AB54+AB72+AB68+AB84+AB88</f>
        <v>2201.8599999999997</v>
      </c>
      <c r="AC89" s="94">
        <f>AC50+AC54+AC72+AC68+AC84+AC88</f>
        <v>2151.8599999999997</v>
      </c>
      <c r="AD89" s="94">
        <f>AD50+AD54+AD72+AD68+AD84+AD88</f>
        <v>2141.56</v>
      </c>
      <c r="AE89" s="94">
        <f t="shared" si="15"/>
        <v>2091.56</v>
      </c>
      <c r="AF89" s="94">
        <f>AF50+AF54+AF72+AF68+AF84+AF88</f>
        <v>2064.06</v>
      </c>
      <c r="AG89" s="61">
        <f t="shared" si="15"/>
        <v>2111.5500000000002</v>
      </c>
      <c r="AH89" s="47">
        <f t="shared" si="11"/>
        <v>2248.3599999999997</v>
      </c>
      <c r="AI89" s="48">
        <f t="shared" si="12"/>
        <v>2058.16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1"/>
        <v>0</v>
      </c>
      <c r="AI90" s="48">
        <f t="shared" si="12"/>
        <v>0</v>
      </c>
    </row>
    <row r="91" spans="1:40" ht="15.75" thickBot="1" x14ac:dyDescent="0.3">
      <c r="A91" s="73" t="s">
        <v>102</v>
      </c>
      <c r="B91" s="94">
        <f>B89+B90</f>
        <v>2077.3599999999997</v>
      </c>
      <c r="C91" s="94">
        <f t="shared" ref="C91:AE91" si="17">C89+C90</f>
        <v>2077.3599999999997</v>
      </c>
      <c r="D91" s="94">
        <f t="shared" si="17"/>
        <v>2079.3599999999997</v>
      </c>
      <c r="E91" s="94">
        <f>E89+E90</f>
        <v>2069.3599999999997</v>
      </c>
      <c r="F91" s="94">
        <f t="shared" si="17"/>
        <v>2061.3599999999997</v>
      </c>
      <c r="G91" s="94">
        <f t="shared" ref="G91:L91" si="18">G89+G90</f>
        <v>2121.36</v>
      </c>
      <c r="H91" s="94">
        <f t="shared" si="18"/>
        <v>2061.3599999999997</v>
      </c>
      <c r="I91" s="94">
        <f t="shared" si="18"/>
        <v>2113.3599999999997</v>
      </c>
      <c r="J91" s="94">
        <f t="shared" si="18"/>
        <v>2122.16</v>
      </c>
      <c r="K91" s="94">
        <f t="shared" si="18"/>
        <v>2136.7599999999998</v>
      </c>
      <c r="L91" s="94">
        <f t="shared" si="18"/>
        <v>2173.16</v>
      </c>
      <c r="M91" s="94">
        <f t="shared" si="17"/>
        <v>2185.06</v>
      </c>
      <c r="N91" s="94">
        <f t="shared" si="17"/>
        <v>2175.06</v>
      </c>
      <c r="O91" s="94">
        <f t="shared" si="17"/>
        <v>2179.16</v>
      </c>
      <c r="P91" s="94">
        <f t="shared" si="17"/>
        <v>2174.16</v>
      </c>
      <c r="Q91" s="94">
        <f t="shared" si="17"/>
        <v>2140.2599999999998</v>
      </c>
      <c r="R91" s="94">
        <f t="shared" si="17"/>
        <v>2142.96</v>
      </c>
      <c r="S91" s="94">
        <f t="shared" si="17"/>
        <v>2058.16</v>
      </c>
      <c r="T91" s="94">
        <f t="shared" si="17"/>
        <v>2071.96</v>
      </c>
      <c r="U91" s="94">
        <f t="shared" si="17"/>
        <v>2099.46</v>
      </c>
      <c r="V91" s="94">
        <f t="shared" si="17"/>
        <v>2124.16</v>
      </c>
      <c r="W91" s="94">
        <f t="shared" si="17"/>
        <v>2177.66</v>
      </c>
      <c r="X91" s="94">
        <f t="shared" si="17"/>
        <v>2183.56</v>
      </c>
      <c r="Y91" s="94">
        <f t="shared" si="17"/>
        <v>2248.3599999999997</v>
      </c>
      <c r="Z91" s="94">
        <f t="shared" si="17"/>
        <v>2248.3599999999997</v>
      </c>
      <c r="AA91" s="94">
        <f t="shared" si="17"/>
        <v>2215.7599999999998</v>
      </c>
      <c r="AB91" s="94">
        <f>AB89+AB90</f>
        <v>2201.8599999999997</v>
      </c>
      <c r="AC91" s="94">
        <f>AC89+AC90</f>
        <v>2151.8599999999997</v>
      </c>
      <c r="AD91" s="94">
        <f>AD89+AD90</f>
        <v>2141.56</v>
      </c>
      <c r="AE91" s="94">
        <f t="shared" si="17"/>
        <v>2091.56</v>
      </c>
      <c r="AF91" s="94">
        <f>AF89+AF90</f>
        <v>2064.06</v>
      </c>
      <c r="AG91" s="87">
        <f>AG88+AG84+AG72+AG68+AG50+AG90</f>
        <v>1573.45</v>
      </c>
      <c r="AH91" s="47">
        <f t="shared" si="11"/>
        <v>2248.3599999999997</v>
      </c>
      <c r="AI91" s="48">
        <f t="shared" si="12"/>
        <v>2058.16</v>
      </c>
    </row>
    <row r="92" spans="1:40" ht="15.75" thickBot="1" x14ac:dyDescent="0.3">
      <c r="A92" s="73" t="s">
        <v>103</v>
      </c>
      <c r="B92" s="94">
        <f>B91-(-B99)</f>
        <v>1566.3599999999997</v>
      </c>
      <c r="C92" s="94">
        <f t="shared" ref="C92:AE92" si="19">C91-(-C99)</f>
        <v>1550.3599999999997</v>
      </c>
      <c r="D92" s="94">
        <f t="shared" si="19"/>
        <v>1528.3599999999997</v>
      </c>
      <c r="E92" s="94">
        <f t="shared" ref="E92:L92" si="20">E91-(-E99)</f>
        <v>1495.3599999999997</v>
      </c>
      <c r="F92" s="94">
        <f t="shared" si="20"/>
        <v>1486.3599999999997</v>
      </c>
      <c r="G92" s="94">
        <f t="shared" si="20"/>
        <v>1559.3600000000001</v>
      </c>
      <c r="H92" s="94">
        <f t="shared" si="20"/>
        <v>1505.3599999999997</v>
      </c>
      <c r="I92" s="94">
        <f t="shared" si="20"/>
        <v>1494.3599999999997</v>
      </c>
      <c r="J92" s="94">
        <f t="shared" si="20"/>
        <v>1557.1599999999999</v>
      </c>
      <c r="K92" s="94">
        <f t="shared" si="20"/>
        <v>1567.7599999999998</v>
      </c>
      <c r="L92" s="94">
        <f t="shared" si="20"/>
        <v>1618.1599999999999</v>
      </c>
      <c r="M92" s="94">
        <f t="shared" si="19"/>
        <v>1649.06</v>
      </c>
      <c r="N92" s="94">
        <f t="shared" si="19"/>
        <v>1695.06</v>
      </c>
      <c r="O92" s="94">
        <f t="shared" si="19"/>
        <v>1683.1599999999999</v>
      </c>
      <c r="P92" s="94">
        <f t="shared" si="19"/>
        <v>1705.4599999999998</v>
      </c>
      <c r="Q92" s="94">
        <f t="shared" si="19"/>
        <v>1677.4599999999998</v>
      </c>
      <c r="R92" s="94">
        <f t="shared" si="19"/>
        <v>1651.66</v>
      </c>
      <c r="S92" s="94">
        <f t="shared" si="19"/>
        <v>1691.06</v>
      </c>
      <c r="T92" s="94">
        <f t="shared" si="19"/>
        <v>1660.96</v>
      </c>
      <c r="U92" s="94">
        <f t="shared" si="19"/>
        <v>1641.66</v>
      </c>
      <c r="V92" s="94">
        <f t="shared" si="19"/>
        <v>1639.1599999999999</v>
      </c>
      <c r="W92" s="94">
        <f t="shared" si="19"/>
        <v>1688.6599999999999</v>
      </c>
      <c r="X92" s="94">
        <f t="shared" si="19"/>
        <v>1746.56</v>
      </c>
      <c r="Y92" s="94">
        <f t="shared" si="19"/>
        <v>1851.3599999999997</v>
      </c>
      <c r="Z92" s="94">
        <f t="shared" si="19"/>
        <v>1824.3599999999997</v>
      </c>
      <c r="AA92" s="94">
        <f t="shared" si="19"/>
        <v>1798.7599999999998</v>
      </c>
      <c r="AB92" s="94">
        <f>AB91-(-AB99)</f>
        <v>1780.7599999999998</v>
      </c>
      <c r="AC92" s="94">
        <f>AC91-(-AC99)</f>
        <v>1731.8599999999997</v>
      </c>
      <c r="AD92" s="94">
        <f>AD91-(-AD99)</f>
        <v>1723.56</v>
      </c>
      <c r="AE92" s="94">
        <f t="shared" si="19"/>
        <v>1641.56</v>
      </c>
      <c r="AF92" s="94">
        <f>AF91-(-AF99)</f>
        <v>1634.06</v>
      </c>
      <c r="AG92" s="87"/>
      <c r="AH92" s="47">
        <f t="shared" si="11"/>
        <v>1851.3599999999997</v>
      </c>
      <c r="AI92" s="48">
        <f t="shared" si="12"/>
        <v>1486.3599999999997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1"/>
        <v>0</v>
      </c>
      <c r="AI93" s="48">
        <f t="shared" si="12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1"/>
        <v>0</v>
      </c>
      <c r="AI94" s="48">
        <f t="shared" si="12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1"/>
        <v>0</v>
      </c>
      <c r="AI95" s="48">
        <f t="shared" si="12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1"/>
        <v>0</v>
      </c>
      <c r="AI96" s="48">
        <f t="shared" si="12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1"/>
        <v>0</v>
      </c>
      <c r="AI97" s="48">
        <f t="shared" si="12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1"/>
        <v>0</v>
      </c>
      <c r="AI98" s="48">
        <f t="shared" si="12"/>
        <v>0</v>
      </c>
    </row>
    <row r="99" spans="1:37" ht="15.75" thickBot="1" x14ac:dyDescent="0.3">
      <c r="A99" s="98" t="s">
        <v>107</v>
      </c>
      <c r="B99" s="60">
        <f>B75</f>
        <v>-511</v>
      </c>
      <c r="C99" s="60">
        <f t="shared" ref="C99:AE99" si="21">C75</f>
        <v>-527</v>
      </c>
      <c r="D99" s="60">
        <f t="shared" si="21"/>
        <v>-551</v>
      </c>
      <c r="E99" s="60">
        <f>E75</f>
        <v>-574</v>
      </c>
      <c r="F99" s="60">
        <f t="shared" si="21"/>
        <v>-575</v>
      </c>
      <c r="G99" s="60">
        <f t="shared" ref="G99:L99" si="22">G75</f>
        <v>-562</v>
      </c>
      <c r="H99" s="60">
        <f t="shared" si="22"/>
        <v>-556</v>
      </c>
      <c r="I99" s="60">
        <f t="shared" si="22"/>
        <v>-619</v>
      </c>
      <c r="J99" s="60">
        <f t="shared" si="22"/>
        <v>-565</v>
      </c>
      <c r="K99" s="60">
        <f t="shared" si="22"/>
        <v>-569</v>
      </c>
      <c r="L99" s="60">
        <f t="shared" si="22"/>
        <v>-555</v>
      </c>
      <c r="M99" s="60">
        <f t="shared" si="21"/>
        <v>-536</v>
      </c>
      <c r="N99" s="60">
        <f t="shared" si="21"/>
        <v>-480</v>
      </c>
      <c r="O99" s="60">
        <f t="shared" si="21"/>
        <v>-496</v>
      </c>
      <c r="P99" s="60">
        <f t="shared" si="21"/>
        <v>-468.7</v>
      </c>
      <c r="Q99" s="60">
        <f t="shared" si="21"/>
        <v>-462.8</v>
      </c>
      <c r="R99" s="60">
        <f t="shared" si="21"/>
        <v>-491.3</v>
      </c>
      <c r="S99" s="60">
        <f t="shared" si="21"/>
        <v>-367.1</v>
      </c>
      <c r="T99" s="60">
        <f t="shared" si="21"/>
        <v>-411</v>
      </c>
      <c r="U99" s="60">
        <f t="shared" si="21"/>
        <v>-457.8</v>
      </c>
      <c r="V99" s="60">
        <f t="shared" si="21"/>
        <v>-485</v>
      </c>
      <c r="W99" s="60">
        <f t="shared" si="21"/>
        <v>-489</v>
      </c>
      <c r="X99" s="60">
        <f t="shared" si="21"/>
        <v>-437</v>
      </c>
      <c r="Y99" s="60">
        <f t="shared" si="21"/>
        <v>-397</v>
      </c>
      <c r="Z99" s="60">
        <f t="shared" si="21"/>
        <v>-424</v>
      </c>
      <c r="AA99" s="60">
        <f t="shared" si="21"/>
        <v>-417</v>
      </c>
      <c r="AB99" s="60">
        <f>AB75</f>
        <v>-421.1</v>
      </c>
      <c r="AC99" s="60">
        <f>AC75</f>
        <v>-420</v>
      </c>
      <c r="AD99" s="60">
        <f>AD75</f>
        <v>-418</v>
      </c>
      <c r="AE99" s="60">
        <f t="shared" si="21"/>
        <v>-450</v>
      </c>
      <c r="AF99" s="60">
        <f>AF75</f>
        <v>-430</v>
      </c>
      <c r="AG99" s="87"/>
      <c r="AH99" s="47">
        <f t="shared" si="11"/>
        <v>-367.1</v>
      </c>
      <c r="AI99" s="48">
        <f t="shared" si="12"/>
        <v>-619</v>
      </c>
      <c r="AK99" s="50"/>
    </row>
    <row r="100" spans="1:37" ht="15.75" thickBot="1" x14ac:dyDescent="0.3">
      <c r="A100" s="73" t="s">
        <v>108</v>
      </c>
      <c r="B100" s="60">
        <f t="shared" ref="B100:AE100" si="23">B84-B99</f>
        <v>511</v>
      </c>
      <c r="C100" s="60">
        <f t="shared" si="23"/>
        <v>527</v>
      </c>
      <c r="D100" s="60">
        <f t="shared" si="23"/>
        <v>551</v>
      </c>
      <c r="E100" s="60">
        <f>E84-E99</f>
        <v>574</v>
      </c>
      <c r="F100" s="60">
        <f t="shared" si="23"/>
        <v>575</v>
      </c>
      <c r="G100" s="60">
        <f t="shared" ref="G100:L100" si="24">G84-G99</f>
        <v>631.9</v>
      </c>
      <c r="H100" s="60">
        <f t="shared" si="24"/>
        <v>556</v>
      </c>
      <c r="I100" s="60">
        <f t="shared" si="24"/>
        <v>619</v>
      </c>
      <c r="J100" s="60">
        <f t="shared" si="24"/>
        <v>565</v>
      </c>
      <c r="K100" s="60">
        <f t="shared" si="24"/>
        <v>569</v>
      </c>
      <c r="L100" s="60">
        <f t="shared" si="24"/>
        <v>555</v>
      </c>
      <c r="M100" s="60">
        <f t="shared" si="23"/>
        <v>536</v>
      </c>
      <c r="N100" s="60">
        <f t="shared" si="23"/>
        <v>480</v>
      </c>
      <c r="O100" s="60">
        <f t="shared" si="23"/>
        <v>496</v>
      </c>
      <c r="P100" s="60">
        <f t="shared" si="23"/>
        <v>468.7</v>
      </c>
      <c r="Q100" s="60">
        <f t="shared" si="23"/>
        <v>462.8</v>
      </c>
      <c r="R100" s="60">
        <f t="shared" si="23"/>
        <v>491.3</v>
      </c>
      <c r="S100" s="60">
        <f t="shared" si="23"/>
        <v>367.1</v>
      </c>
      <c r="T100" s="60">
        <f t="shared" si="23"/>
        <v>411</v>
      </c>
      <c r="U100" s="60">
        <f t="shared" si="23"/>
        <v>457.8</v>
      </c>
      <c r="V100" s="60">
        <f t="shared" si="23"/>
        <v>485</v>
      </c>
      <c r="W100" s="60">
        <f t="shared" si="23"/>
        <v>489</v>
      </c>
      <c r="X100" s="60">
        <f t="shared" si="23"/>
        <v>437</v>
      </c>
      <c r="Y100" s="60">
        <f t="shared" si="23"/>
        <v>397</v>
      </c>
      <c r="Z100" s="60">
        <f t="shared" si="23"/>
        <v>424</v>
      </c>
      <c r="AA100" s="60">
        <f t="shared" si="23"/>
        <v>417</v>
      </c>
      <c r="AB100" s="60">
        <f>AB84-AB99</f>
        <v>423.8</v>
      </c>
      <c r="AC100" s="60">
        <f>AC84-AC99</f>
        <v>420</v>
      </c>
      <c r="AD100" s="60">
        <f>AD84-AD99</f>
        <v>418</v>
      </c>
      <c r="AE100" s="60">
        <f t="shared" si="23"/>
        <v>450</v>
      </c>
      <c r="AF100" s="60">
        <f>AF84-AF99</f>
        <v>430</v>
      </c>
      <c r="AG100" s="87"/>
      <c r="AH100" s="47">
        <f t="shared" si="11"/>
        <v>631.9</v>
      </c>
      <c r="AI100" s="48">
        <f t="shared" si="12"/>
        <v>367.1</v>
      </c>
    </row>
    <row r="101" spans="1:37" x14ac:dyDescent="0.25">
      <c r="A101" s="99" t="s">
        <v>109</v>
      </c>
      <c r="B101" s="100">
        <v>50.058</v>
      </c>
      <c r="C101" s="100">
        <v>50.015000000000001</v>
      </c>
      <c r="D101" s="100">
        <v>49.962000000000003</v>
      </c>
      <c r="E101" s="100">
        <v>49.962000000000003</v>
      </c>
      <c r="F101" s="100">
        <v>49.982999999999997</v>
      </c>
      <c r="G101" s="100">
        <v>49.982999999999997</v>
      </c>
      <c r="H101" s="100">
        <v>49.982999999999997</v>
      </c>
      <c r="I101" s="100">
        <v>49.999000000000002</v>
      </c>
      <c r="J101" s="100">
        <v>49.999000000000002</v>
      </c>
      <c r="K101" s="100">
        <v>49.973999999999997</v>
      </c>
      <c r="L101" s="100">
        <v>50.008000000000003</v>
      </c>
      <c r="M101" s="100">
        <v>49.994999999999997</v>
      </c>
      <c r="N101" s="100">
        <v>50.021999999999998</v>
      </c>
      <c r="O101" s="100">
        <v>49.957000000000001</v>
      </c>
      <c r="P101" s="100">
        <v>49.996000000000002</v>
      </c>
      <c r="Q101" s="100">
        <v>49.98</v>
      </c>
      <c r="R101" s="100">
        <v>49.881999999999998</v>
      </c>
      <c r="S101" s="100">
        <v>50.067</v>
      </c>
      <c r="T101" s="100">
        <v>49.993000000000002</v>
      </c>
      <c r="U101" s="100">
        <v>49.991999999999997</v>
      </c>
      <c r="V101" s="100">
        <v>49.860999999999997</v>
      </c>
      <c r="W101" s="100">
        <v>50.027000000000001</v>
      </c>
      <c r="X101" s="100">
        <v>49.963999999999999</v>
      </c>
      <c r="Y101" s="100">
        <v>50.045999999999999</v>
      </c>
      <c r="Z101" s="100">
        <v>50.055999999999997</v>
      </c>
      <c r="AA101" s="100">
        <v>50.04</v>
      </c>
      <c r="AB101" s="100">
        <v>50.031999999999996</v>
      </c>
      <c r="AC101" s="100">
        <v>50.026000000000003</v>
      </c>
      <c r="AD101" s="100">
        <v>49.97</v>
      </c>
      <c r="AE101" s="100">
        <v>50.06</v>
      </c>
      <c r="AF101" s="100">
        <v>49.95</v>
      </c>
      <c r="AG101" s="101"/>
      <c r="AH101" s="47">
        <f t="shared" si="11"/>
        <v>50.067</v>
      </c>
      <c r="AI101" s="48">
        <f t="shared" si="12"/>
        <v>49.860999999999997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1"/>
        <v>0</v>
      </c>
      <c r="AI102" s="48">
        <f t="shared" si="12"/>
        <v>0</v>
      </c>
    </row>
    <row r="103" spans="1:37" x14ac:dyDescent="0.25">
      <c r="A103" s="102" t="s">
        <v>111</v>
      </c>
      <c r="B103" s="64">
        <v>129.6</v>
      </c>
      <c r="C103" s="64">
        <v>129</v>
      </c>
      <c r="D103" s="64">
        <v>129.19999999999999</v>
      </c>
      <c r="E103" s="64">
        <v>129.19999999999999</v>
      </c>
      <c r="F103" s="64">
        <v>128.80000000000001</v>
      </c>
      <c r="G103" s="64">
        <v>128.80000000000001</v>
      </c>
      <c r="H103" s="64">
        <v>128.80000000000001</v>
      </c>
      <c r="I103" s="64">
        <v>128.30000000000001</v>
      </c>
      <c r="J103" s="64">
        <v>128.30000000000001</v>
      </c>
      <c r="K103" s="64">
        <v>126.6</v>
      </c>
      <c r="L103" s="64">
        <v>125.9</v>
      </c>
      <c r="M103" s="64">
        <v>126.1</v>
      </c>
      <c r="N103" s="64">
        <v>125.6</v>
      </c>
      <c r="O103" s="64">
        <v>126.7</v>
      </c>
      <c r="P103" s="64">
        <v>125.8</v>
      </c>
      <c r="Q103" s="64">
        <v>126.1</v>
      </c>
      <c r="R103" s="64">
        <v>125.9</v>
      </c>
      <c r="S103" s="64">
        <v>127.1</v>
      </c>
      <c r="T103" s="64">
        <v>126.1</v>
      </c>
      <c r="U103" s="64">
        <v>126.4</v>
      </c>
      <c r="V103" s="64">
        <v>125.5</v>
      </c>
      <c r="W103" s="64">
        <v>126.9</v>
      </c>
      <c r="X103" s="64">
        <v>127.5</v>
      </c>
      <c r="Y103" s="64">
        <v>127.4</v>
      </c>
      <c r="Z103" s="64">
        <v>128.19999999999999</v>
      </c>
      <c r="AA103" s="64">
        <v>128.6</v>
      </c>
      <c r="AB103" s="64">
        <v>128.1</v>
      </c>
      <c r="AC103" s="64">
        <v>128.1</v>
      </c>
      <c r="AD103" s="64">
        <v>128.1</v>
      </c>
      <c r="AE103" s="64">
        <v>130</v>
      </c>
      <c r="AF103" s="64">
        <v>130</v>
      </c>
      <c r="AG103" s="103"/>
      <c r="AH103" s="47">
        <f t="shared" si="11"/>
        <v>130</v>
      </c>
      <c r="AI103" s="48">
        <f t="shared" si="12"/>
        <v>125.5</v>
      </c>
    </row>
    <row r="104" spans="1:37" x14ac:dyDescent="0.25">
      <c r="A104" s="102" t="s">
        <v>112</v>
      </c>
      <c r="B104" s="64">
        <v>130.6</v>
      </c>
      <c r="C104" s="64">
        <v>129</v>
      </c>
      <c r="D104" s="64">
        <v>130</v>
      </c>
      <c r="E104" s="64">
        <v>130</v>
      </c>
      <c r="F104" s="64">
        <v>130.5</v>
      </c>
      <c r="G104" s="64">
        <v>130.5</v>
      </c>
      <c r="H104" s="64">
        <v>130.5</v>
      </c>
      <c r="I104" s="64">
        <v>129.5</v>
      </c>
      <c r="J104" s="64">
        <v>129.5</v>
      </c>
      <c r="K104" s="64">
        <v>126.3</v>
      </c>
      <c r="L104" s="64">
        <v>127.4</v>
      </c>
      <c r="M104" s="64">
        <v>125.8</v>
      </c>
      <c r="N104" s="64">
        <v>128.30000000000001</v>
      </c>
      <c r="O104" s="64">
        <v>127.7</v>
      </c>
      <c r="P104" s="64">
        <v>128.6</v>
      </c>
      <c r="Q104" s="64">
        <v>129</v>
      </c>
      <c r="R104" s="64">
        <v>129.6</v>
      </c>
      <c r="S104" s="64">
        <v>126.9</v>
      </c>
      <c r="T104" s="64">
        <v>128.9</v>
      </c>
      <c r="U104" s="64">
        <v>129.69999999999999</v>
      </c>
      <c r="V104" s="64">
        <v>129</v>
      </c>
      <c r="W104" s="64">
        <v>129.5</v>
      </c>
      <c r="X104" s="64">
        <v>126.9</v>
      </c>
      <c r="Y104" s="64">
        <v>128.19999999999999</v>
      </c>
      <c r="Z104" s="64">
        <v>129.69999999999999</v>
      </c>
      <c r="AA104" s="64">
        <v>128.1</v>
      </c>
      <c r="AB104" s="64">
        <v>128.5</v>
      </c>
      <c r="AC104" s="64">
        <v>128.5</v>
      </c>
      <c r="AD104" s="64">
        <v>128.5</v>
      </c>
      <c r="AE104" s="64">
        <v>130.6</v>
      </c>
      <c r="AF104" s="64">
        <v>130.6</v>
      </c>
      <c r="AG104" s="103"/>
      <c r="AH104" s="47">
        <f t="shared" si="11"/>
        <v>130.6</v>
      </c>
      <c r="AI104" s="48">
        <f t="shared" si="12"/>
        <v>125.8</v>
      </c>
    </row>
    <row r="105" spans="1:37" x14ac:dyDescent="0.25">
      <c r="A105" s="104" t="s">
        <v>113</v>
      </c>
      <c r="B105" s="64">
        <v>133.6</v>
      </c>
      <c r="C105" s="64">
        <v>132.5</v>
      </c>
      <c r="D105" s="64">
        <v>133.4</v>
      </c>
      <c r="E105" s="64">
        <v>133.4</v>
      </c>
      <c r="F105" s="64">
        <v>134.1</v>
      </c>
      <c r="G105" s="64">
        <v>134.1</v>
      </c>
      <c r="H105" s="64">
        <v>134.1</v>
      </c>
      <c r="I105" s="64">
        <v>132.9</v>
      </c>
      <c r="J105" s="64">
        <v>132.9</v>
      </c>
      <c r="K105" s="64">
        <v>129.5</v>
      </c>
      <c r="L105" s="64">
        <v>131.19999999999999</v>
      </c>
      <c r="M105" s="64">
        <v>128.69999999999999</v>
      </c>
      <c r="N105" s="64">
        <v>130.80000000000001</v>
      </c>
      <c r="O105" s="64">
        <v>129.9</v>
      </c>
      <c r="P105" s="64">
        <v>130.6</v>
      </c>
      <c r="Q105" s="64">
        <v>130.9</v>
      </c>
      <c r="R105" s="64">
        <v>131</v>
      </c>
      <c r="S105" s="64">
        <v>128.19999999999999</v>
      </c>
      <c r="T105" s="64">
        <v>130.19999999999999</v>
      </c>
      <c r="U105" s="64">
        <v>130.19999999999999</v>
      </c>
      <c r="V105" s="64">
        <v>131.30000000000001</v>
      </c>
      <c r="W105" s="64">
        <v>130.80000000000001</v>
      </c>
      <c r="X105" s="64">
        <v>127.6</v>
      </c>
      <c r="Y105" s="64">
        <v>130</v>
      </c>
      <c r="Z105" s="64">
        <v>130.5</v>
      </c>
      <c r="AA105" s="64">
        <v>130.1</v>
      </c>
      <c r="AB105" s="64">
        <v>130.9</v>
      </c>
      <c r="AC105" s="64">
        <v>130.9</v>
      </c>
      <c r="AD105" s="64">
        <v>130.9</v>
      </c>
      <c r="AE105" s="64">
        <v>134</v>
      </c>
      <c r="AF105" s="64">
        <v>134</v>
      </c>
      <c r="AG105" s="103"/>
      <c r="AH105" s="47">
        <f t="shared" si="11"/>
        <v>134.1</v>
      </c>
      <c r="AI105" s="48">
        <f t="shared" si="12"/>
        <v>127.6</v>
      </c>
    </row>
    <row r="106" spans="1:37" x14ac:dyDescent="0.25">
      <c r="A106" s="104" t="s">
        <v>114</v>
      </c>
      <c r="B106" s="105">
        <v>134.5</v>
      </c>
      <c r="C106" s="105">
        <v>132.6</v>
      </c>
      <c r="D106" s="105">
        <v>134</v>
      </c>
      <c r="E106" s="105">
        <v>134</v>
      </c>
      <c r="F106" s="105">
        <v>132.5</v>
      </c>
      <c r="G106" s="105">
        <v>132.5</v>
      </c>
      <c r="H106" s="105">
        <v>132.5</v>
      </c>
      <c r="I106" s="105">
        <v>132.4</v>
      </c>
      <c r="J106" s="105">
        <v>132.4</v>
      </c>
      <c r="K106" s="105">
        <v>134.30000000000001</v>
      </c>
      <c r="L106" s="105">
        <v>132.69999999999999</v>
      </c>
      <c r="M106" s="105">
        <v>132.19999999999999</v>
      </c>
      <c r="N106" s="105">
        <v>133.1</v>
      </c>
      <c r="O106" s="105">
        <v>131.6</v>
      </c>
      <c r="P106" s="105">
        <v>132</v>
      </c>
      <c r="Q106" s="105">
        <v>133.30000000000001</v>
      </c>
      <c r="R106" s="105">
        <v>133.5</v>
      </c>
      <c r="S106" s="105">
        <v>133.80000000000001</v>
      </c>
      <c r="T106" s="105">
        <v>133.6</v>
      </c>
      <c r="U106" s="105">
        <v>133.80000000000001</v>
      </c>
      <c r="V106" s="105">
        <v>131.30000000000001</v>
      </c>
      <c r="W106" s="105">
        <v>135.19999999999999</v>
      </c>
      <c r="X106" s="105">
        <v>135.19999999999999</v>
      </c>
      <c r="Y106" s="105">
        <v>132.5</v>
      </c>
      <c r="Z106" s="105">
        <v>133.6</v>
      </c>
      <c r="AA106" s="105">
        <v>133.19999999999999</v>
      </c>
      <c r="AB106" s="105">
        <v>130.6</v>
      </c>
      <c r="AC106" s="105">
        <v>130.6</v>
      </c>
      <c r="AD106" s="105">
        <v>130.6</v>
      </c>
      <c r="AE106" s="105">
        <v>132</v>
      </c>
      <c r="AF106" s="105">
        <v>132</v>
      </c>
      <c r="AG106" s="106"/>
      <c r="AH106" s="47">
        <f t="shared" si="11"/>
        <v>135.19999999999999</v>
      </c>
      <c r="AI106" s="48">
        <f t="shared" si="12"/>
        <v>130.6</v>
      </c>
    </row>
    <row r="107" spans="1:37" x14ac:dyDescent="0.25">
      <c r="A107" s="102" t="s">
        <v>115</v>
      </c>
      <c r="B107" s="64">
        <v>133.9</v>
      </c>
      <c r="C107" s="64">
        <v>129.1</v>
      </c>
      <c r="D107" s="64">
        <v>132.19999999999999</v>
      </c>
      <c r="E107" s="64">
        <v>132.19999999999999</v>
      </c>
      <c r="F107" s="64">
        <v>130.4</v>
      </c>
      <c r="G107" s="64">
        <v>130.4</v>
      </c>
      <c r="H107" s="64">
        <v>130.4</v>
      </c>
      <c r="I107" s="64">
        <v>126.9</v>
      </c>
      <c r="J107" s="64">
        <v>126.9</v>
      </c>
      <c r="K107" s="64">
        <v>133.1</v>
      </c>
      <c r="L107" s="64">
        <v>135.19999999999999</v>
      </c>
      <c r="M107" s="64">
        <v>133.30000000000001</v>
      </c>
      <c r="N107" s="64">
        <v>135</v>
      </c>
      <c r="O107" s="64">
        <v>130.6</v>
      </c>
      <c r="P107" s="64">
        <v>134</v>
      </c>
      <c r="Q107" s="64">
        <v>133</v>
      </c>
      <c r="R107" s="64">
        <v>136</v>
      </c>
      <c r="S107" s="64">
        <v>135.5</v>
      </c>
      <c r="T107" s="64">
        <v>138.4</v>
      </c>
      <c r="U107" s="64">
        <v>137</v>
      </c>
      <c r="V107" s="64">
        <v>129.30000000000001</v>
      </c>
      <c r="W107" s="64">
        <v>137.80000000000001</v>
      </c>
      <c r="X107" s="64">
        <v>139.6</v>
      </c>
      <c r="Y107" s="64">
        <v>135.19999999999999</v>
      </c>
      <c r="Z107" s="64">
        <v>130.5</v>
      </c>
      <c r="AA107" s="64">
        <v>136.5</v>
      </c>
      <c r="AB107" s="64">
        <v>130.19999999999999</v>
      </c>
      <c r="AC107" s="64">
        <v>130.19999999999999</v>
      </c>
      <c r="AD107" s="64">
        <v>130.19999999999999</v>
      </c>
      <c r="AE107" s="64">
        <v>129</v>
      </c>
      <c r="AF107" s="64">
        <v>129</v>
      </c>
      <c r="AG107" s="103"/>
      <c r="AH107" s="47">
        <f t="shared" si="11"/>
        <v>139.6</v>
      </c>
      <c r="AI107" s="48">
        <f t="shared" si="12"/>
        <v>126.9</v>
      </c>
    </row>
    <row r="108" spans="1:37" ht="15.75" thickBot="1" x14ac:dyDescent="0.3">
      <c r="A108" s="102" t="s">
        <v>116</v>
      </c>
      <c r="B108" s="91">
        <v>66</v>
      </c>
      <c r="C108" s="91">
        <v>64.8</v>
      </c>
      <c r="D108" s="91">
        <v>64.8</v>
      </c>
      <c r="E108" s="91">
        <v>64.8</v>
      </c>
      <c r="F108" s="91">
        <v>65</v>
      </c>
      <c r="G108" s="91">
        <v>65</v>
      </c>
      <c r="H108" s="91">
        <v>65</v>
      </c>
      <c r="I108" s="91">
        <v>64.400000000000006</v>
      </c>
      <c r="J108" s="91">
        <v>64.400000000000006</v>
      </c>
      <c r="K108" s="91">
        <v>63.8</v>
      </c>
      <c r="L108" s="91">
        <v>63.2</v>
      </c>
      <c r="M108" s="91">
        <v>63.3</v>
      </c>
      <c r="N108" s="91">
        <v>63.3</v>
      </c>
      <c r="O108" s="91">
        <v>63.4</v>
      </c>
      <c r="P108" s="91">
        <v>63.2</v>
      </c>
      <c r="Q108" s="91">
        <v>63.3</v>
      </c>
      <c r="R108" s="91">
        <v>63.3</v>
      </c>
      <c r="S108" s="91">
        <v>63.9</v>
      </c>
      <c r="T108" s="91">
        <v>63.1</v>
      </c>
      <c r="U108" s="91">
        <v>63.3</v>
      </c>
      <c r="V108" s="91">
        <v>62.8</v>
      </c>
      <c r="W108" s="91">
        <v>63.8</v>
      </c>
      <c r="X108" s="91">
        <v>64.2</v>
      </c>
      <c r="Y108" s="91">
        <v>64</v>
      </c>
      <c r="Z108" s="91">
        <v>64.5</v>
      </c>
      <c r="AA108" s="91">
        <v>64.900000000000006</v>
      </c>
      <c r="AB108" s="91">
        <v>64.900000000000006</v>
      </c>
      <c r="AC108" s="91">
        <v>64.900000000000006</v>
      </c>
      <c r="AD108" s="91">
        <v>64.900000000000006</v>
      </c>
      <c r="AE108" s="91">
        <v>64.8</v>
      </c>
      <c r="AF108" s="91">
        <v>64.8</v>
      </c>
      <c r="AG108" s="107"/>
      <c r="AH108" s="47">
        <f t="shared" si="11"/>
        <v>66</v>
      </c>
      <c r="AI108" s="48">
        <f t="shared" si="12"/>
        <v>62.8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1"/>
        <v>0</v>
      </c>
      <c r="AI109" s="48">
        <f t="shared" si="12"/>
        <v>0</v>
      </c>
    </row>
    <row r="110" spans="1:37" ht="15.75" thickBot="1" x14ac:dyDescent="0.3">
      <c r="A110" s="109" t="s">
        <v>118</v>
      </c>
      <c r="B110" s="110">
        <f t="shared" ref="B110:O110" si="25">SUM(B20,B26,B29:B30,B58,B60:B61,B63,B65,B111:B115,B138,B144,B150,B159,B161,B173,B180,B183:B184,B191,B193,B195,B199:B201,B203:B205,B210,B216:B217,B219:B221,B229,B234)</f>
        <v>29.399999999999977</v>
      </c>
      <c r="C110" s="110">
        <f t="shared" si="25"/>
        <v>17.039999999999996</v>
      </c>
      <c r="D110" s="110">
        <f t="shared" si="25"/>
        <v>20.040000000000003</v>
      </c>
      <c r="E110" s="110">
        <f>SUM(E20,E26,E29:E30,E58,E60:E61,E63,E65,E111:E115,E138,E144,E150,E159,E161,E173,E180,E183:E184,E191,E193,E195,E199:E201,E203:E205,E210,E216:E217,E219:E221,E229,E234)</f>
        <v>19.64</v>
      </c>
      <c r="F110" s="110">
        <f t="shared" si="25"/>
        <v>28.739999999999991</v>
      </c>
      <c r="G110" s="110">
        <f t="shared" ref="G110:L110" si="26">SUM(G20,G26,G29:G30,G58,G60:G61,G63,G65,G111:G115,G138,G144,G150,G159,G161,G173,G180,G183:G184,G191,G193,G195,G199:G201,G203:G205,G210,G216:G217,G219:G221,G229,G234)</f>
        <v>62.039999999999978</v>
      </c>
      <c r="H110" s="110">
        <f t="shared" si="26"/>
        <v>75.239999999999981</v>
      </c>
      <c r="I110" s="110">
        <f t="shared" si="26"/>
        <v>118.33999999999999</v>
      </c>
      <c r="J110" s="110">
        <f t="shared" si="26"/>
        <v>119.14</v>
      </c>
      <c r="K110" s="110">
        <f t="shared" si="26"/>
        <v>186.54000000000002</v>
      </c>
      <c r="L110" s="110">
        <f t="shared" si="26"/>
        <v>209.34</v>
      </c>
      <c r="M110" s="110">
        <f t="shared" si="25"/>
        <v>215.73999999999998</v>
      </c>
      <c r="N110" s="110">
        <f t="shared" si="25"/>
        <v>207.53999999999996</v>
      </c>
      <c r="O110" s="110">
        <f t="shared" si="25"/>
        <v>224.53999999999996</v>
      </c>
      <c r="P110" s="110">
        <v>42</v>
      </c>
      <c r="Q110" s="110">
        <f t="shared" ref="Q110:AE110" si="27">SUM(Q20,Q26,Q29:Q30,Q58,Q60:Q61,Q63,Q65,Q111:Q115,Q138,Q144,Q150,Q159,Q161,Q173,Q180,Q183:Q184,Q191,Q193,Q195,Q199:Q201,Q203:Q205,Q210,Q216:Q217,Q219:Q221,Q229,Q234)</f>
        <v>208.79999999999995</v>
      </c>
      <c r="R110" s="110">
        <f t="shared" si="27"/>
        <v>202.79999999999998</v>
      </c>
      <c r="S110" s="110">
        <f t="shared" si="27"/>
        <v>215.69999999999993</v>
      </c>
      <c r="T110" s="110">
        <f t="shared" si="27"/>
        <v>214.39999999999998</v>
      </c>
      <c r="U110" s="110">
        <f t="shared" si="27"/>
        <v>204.89999999999998</v>
      </c>
      <c r="V110" s="110">
        <f t="shared" si="27"/>
        <v>207</v>
      </c>
      <c r="W110" s="110">
        <f t="shared" si="27"/>
        <v>221.29999999999998</v>
      </c>
      <c r="X110" s="110">
        <f t="shared" si="27"/>
        <v>261.59999999999997</v>
      </c>
      <c r="Y110" s="110">
        <f t="shared" si="27"/>
        <v>287</v>
      </c>
      <c r="Z110" s="110">
        <f t="shared" si="27"/>
        <v>272.8</v>
      </c>
      <c r="AA110" s="110">
        <f t="shared" si="27"/>
        <v>247.9</v>
      </c>
      <c r="AB110" s="110">
        <f>SUM(AB20,AB26,AB29:AB30,AB58,AB60:AB61,AB63,AB65,AB111:AB115,AB138,AB144,AB150,AB159,AB161,AB173,AB180,AB183:AB184,AB191,AB193,AB195,AB199:AB201,AB203:AB205,AB210,AB216:AB217,AB219:AB221,AB229,AB234)</f>
        <v>190.60000000000002</v>
      </c>
      <c r="AC110" s="110">
        <f>SUM(AC20,AC26,AC29:AC30,AC58,AC60:AC61,AC63,AC65,AC111:AC115,AC138,AC144,AC150,AC159,AC161,AC173,AC180,AC183:AC184,AC191,AC193,AC195,AC199:AC201,AC203:AC205,AC210,AC216:AC217,AC219:AC221,AC229,AC234)</f>
        <v>170.89999999999998</v>
      </c>
      <c r="AD110" s="110">
        <f>SUM(AD20,AD26,AD29:AD30,AD58,AD60:AD61,AD63,AD65,AD111:AD115,AD138,AD144,AD150,AD159,AD161,AD173,AD180,AD183:AD184,AD191,AD193,AD195,AD199:AD201,AD203:AD205,AD210,AD216:AD217,AD219:AD221,AD229,AD234)</f>
        <v>160.60000000000002</v>
      </c>
      <c r="AE110" s="110">
        <f t="shared" si="27"/>
        <v>27.599999999999994</v>
      </c>
      <c r="AF110" s="110">
        <f>SUM(AF20,AF26,AF29:AF30,AF58,AF60:AF61,AF63,AF65,AF111:AF115,AF138,AF144,AF150,AF159,AF161,AF173,AF180,AF183:AF184,AF191,AF193,AF195,AF199:AF201,AF203:AF205,AF210,AF216:AF217,AF219:AF221,AF229,AF234)</f>
        <v>70.599999999999994</v>
      </c>
      <c r="AG110" s="111"/>
      <c r="AH110" s="47">
        <f t="shared" si="11"/>
        <v>287</v>
      </c>
      <c r="AI110" s="48">
        <f t="shared" si="12"/>
        <v>17.039999999999996</v>
      </c>
    </row>
    <row r="111" spans="1:37" x14ac:dyDescent="0.25">
      <c r="A111" s="99" t="s">
        <v>119</v>
      </c>
      <c r="B111" s="112">
        <v>19.600000000000001</v>
      </c>
      <c r="C111" s="112">
        <v>19.5</v>
      </c>
      <c r="D111" s="112">
        <v>21.9</v>
      </c>
      <c r="E111" s="112">
        <v>19.399999999999999</v>
      </c>
      <c r="F111" s="112">
        <v>26.3</v>
      </c>
      <c r="G111" s="112">
        <v>29.1</v>
      </c>
      <c r="H111" s="112">
        <v>28.1</v>
      </c>
      <c r="I111" s="112">
        <v>33.5</v>
      </c>
      <c r="J111" s="112">
        <v>33.5</v>
      </c>
      <c r="K111" s="112">
        <v>41.2</v>
      </c>
      <c r="L111" s="112">
        <v>47.5</v>
      </c>
      <c r="M111" s="112">
        <v>53.1</v>
      </c>
      <c r="N111" s="112">
        <v>51</v>
      </c>
      <c r="O111" s="112">
        <v>52.6</v>
      </c>
      <c r="P111" s="112">
        <v>52.8</v>
      </c>
      <c r="Q111" s="112">
        <v>43.4</v>
      </c>
      <c r="R111" s="112">
        <v>48</v>
      </c>
      <c r="S111" s="112">
        <v>44.3</v>
      </c>
      <c r="T111" s="112">
        <v>46.8</v>
      </c>
      <c r="U111" s="112">
        <v>48.5</v>
      </c>
      <c r="V111" s="112">
        <v>49.8</v>
      </c>
      <c r="W111" s="112">
        <v>50.9</v>
      </c>
      <c r="X111" s="112">
        <v>52</v>
      </c>
      <c r="Y111" s="112">
        <v>52</v>
      </c>
      <c r="Z111" s="112">
        <v>53.4</v>
      </c>
      <c r="AA111" s="112">
        <v>52.6</v>
      </c>
      <c r="AB111" s="112">
        <v>48.9</v>
      </c>
      <c r="AC111" s="112">
        <v>40</v>
      </c>
      <c r="AD111" s="112">
        <v>40</v>
      </c>
      <c r="AE111" s="112">
        <v>31</v>
      </c>
      <c r="AF111" s="112">
        <v>24</v>
      </c>
      <c r="AG111" s="113">
        <v>75</v>
      </c>
      <c r="AH111" s="47">
        <f t="shared" si="11"/>
        <v>53.4</v>
      </c>
      <c r="AI111" s="48">
        <f t="shared" si="12"/>
        <v>19.399999999999999</v>
      </c>
    </row>
    <row r="112" spans="1:37" x14ac:dyDescent="0.25">
      <c r="A112" s="102" t="s">
        <v>120</v>
      </c>
      <c r="B112" s="114">
        <v>33.700000000000003</v>
      </c>
      <c r="C112" s="114">
        <v>33</v>
      </c>
      <c r="D112" s="114">
        <v>35</v>
      </c>
      <c r="E112" s="114">
        <v>31</v>
      </c>
      <c r="F112" s="114">
        <v>42.3</v>
      </c>
      <c r="G112" s="114">
        <v>45.6</v>
      </c>
      <c r="H112" s="114">
        <v>44.6</v>
      </c>
      <c r="I112" s="114">
        <v>52</v>
      </c>
      <c r="J112" s="114">
        <v>52</v>
      </c>
      <c r="K112" s="114">
        <v>60.6</v>
      </c>
      <c r="L112" s="114">
        <v>68.3</v>
      </c>
      <c r="M112" s="114">
        <v>75.3</v>
      </c>
      <c r="N112" s="114">
        <v>73.599999999999994</v>
      </c>
      <c r="O112" s="114">
        <v>75.7</v>
      </c>
      <c r="P112" s="114">
        <v>75.900000000000006</v>
      </c>
      <c r="Q112" s="114">
        <v>61.8</v>
      </c>
      <c r="R112" s="114">
        <v>68.8</v>
      </c>
      <c r="S112" s="114">
        <v>63.4</v>
      </c>
      <c r="T112" s="114">
        <v>65.7</v>
      </c>
      <c r="U112" s="114">
        <v>69.400000000000006</v>
      </c>
      <c r="V112" s="114">
        <v>71.8</v>
      </c>
      <c r="W112" s="114">
        <v>72.7</v>
      </c>
      <c r="X112" s="114">
        <v>72.8</v>
      </c>
      <c r="Y112" s="114">
        <v>73.099999999999994</v>
      </c>
      <c r="Z112" s="114">
        <v>75.8</v>
      </c>
      <c r="AA112" s="114">
        <v>75.3</v>
      </c>
      <c r="AB112" s="114">
        <v>70</v>
      </c>
      <c r="AC112" s="114">
        <v>54</v>
      </c>
      <c r="AD112" s="114">
        <v>54</v>
      </c>
      <c r="AE112" s="114">
        <v>44</v>
      </c>
      <c r="AF112" s="114">
        <v>37</v>
      </c>
      <c r="AG112" s="113">
        <v>240</v>
      </c>
      <c r="AH112" s="47">
        <f t="shared" si="11"/>
        <v>75.900000000000006</v>
      </c>
      <c r="AI112" s="48">
        <f t="shared" si="12"/>
        <v>31</v>
      </c>
    </row>
    <row r="113" spans="1:37" x14ac:dyDescent="0.25">
      <c r="A113" s="102" t="s">
        <v>121</v>
      </c>
      <c r="B113" s="114">
        <v>-170</v>
      </c>
      <c r="C113" s="114">
        <v>-180</v>
      </c>
      <c r="D113" s="114">
        <v>-180</v>
      </c>
      <c r="E113" s="114">
        <v>-176</v>
      </c>
      <c r="F113" s="114">
        <v>-186</v>
      </c>
      <c r="G113" s="114">
        <v>-161</v>
      </c>
      <c r="H113" s="114">
        <v>-149.6</v>
      </c>
      <c r="I113" s="114">
        <v>-153.6</v>
      </c>
      <c r="J113" s="114">
        <v>-153.6</v>
      </c>
      <c r="K113" s="114">
        <v>-130.19999999999999</v>
      </c>
      <c r="L113" s="114">
        <v>-145.6</v>
      </c>
      <c r="M113" s="114">
        <f>-55-62</f>
        <v>-117</v>
      </c>
      <c r="N113" s="114">
        <f>-59-64</f>
        <v>-123</v>
      </c>
      <c r="O113" s="114">
        <f>-52-60</f>
        <v>-112</v>
      </c>
      <c r="P113" s="114">
        <f>-54-60.1</f>
        <v>-114.1</v>
      </c>
      <c r="Q113" s="114">
        <f>-52-57</f>
        <v>-109</v>
      </c>
      <c r="R113" s="114">
        <f>-59-64</f>
        <v>-123</v>
      </c>
      <c r="S113" s="114">
        <f>-48.8-53.7</f>
        <v>-102.5</v>
      </c>
      <c r="T113" s="114">
        <v>-111</v>
      </c>
      <c r="U113" s="114">
        <f>-53.6-58.6</f>
        <v>-112.2</v>
      </c>
      <c r="V113" s="114">
        <v>-111</v>
      </c>
      <c r="W113" s="114">
        <v>-102</v>
      </c>
      <c r="X113" s="114">
        <v>-76</v>
      </c>
      <c r="Y113" s="114">
        <v>-60</v>
      </c>
      <c r="Z113" s="114">
        <v>-78</v>
      </c>
      <c r="AA113" s="114">
        <v>-87</v>
      </c>
      <c r="AB113" s="114">
        <v>-132</v>
      </c>
      <c r="AC113" s="114">
        <v>-120</v>
      </c>
      <c r="AD113" s="114">
        <v>-120</v>
      </c>
      <c r="AE113" s="114">
        <v>-140</v>
      </c>
      <c r="AF113" s="114">
        <v>-145</v>
      </c>
      <c r="AG113" s="113">
        <v>240</v>
      </c>
      <c r="AH113" s="47">
        <f t="shared" si="11"/>
        <v>-60</v>
      </c>
      <c r="AI113" s="48">
        <f t="shared" si="12"/>
        <v>-186</v>
      </c>
    </row>
    <row r="114" spans="1:37" x14ac:dyDescent="0.25">
      <c r="A114" s="102" t="s">
        <v>122</v>
      </c>
      <c r="B114" s="114">
        <v>-13.5</v>
      </c>
      <c r="C114" s="114">
        <v>-16</v>
      </c>
      <c r="D114" s="114">
        <v>-17.399999999999999</v>
      </c>
      <c r="E114" s="114">
        <v>-15.3</v>
      </c>
      <c r="F114" s="114">
        <v>-14.4</v>
      </c>
      <c r="G114" s="114">
        <v>-12.2</v>
      </c>
      <c r="H114" s="114">
        <v>-8.4</v>
      </c>
      <c r="I114" s="114">
        <v>-6.4</v>
      </c>
      <c r="J114" s="114">
        <v>-6.4</v>
      </c>
      <c r="K114" s="114">
        <v>-2.1</v>
      </c>
      <c r="L114" s="114">
        <v>-4.0999999999999996</v>
      </c>
      <c r="M114" s="114">
        <v>9.1</v>
      </c>
      <c r="N114" s="114">
        <v>8.3000000000000007</v>
      </c>
      <c r="O114" s="114">
        <v>7.7</v>
      </c>
      <c r="P114" s="114">
        <v>8.1999999999999993</v>
      </c>
      <c r="Q114" s="114">
        <v>24.5</v>
      </c>
      <c r="R114" s="114">
        <v>21.9</v>
      </c>
      <c r="S114" s="114">
        <v>23.7</v>
      </c>
      <c r="T114" s="114">
        <v>34</v>
      </c>
      <c r="U114" s="114">
        <v>23.3</v>
      </c>
      <c r="V114" s="114">
        <v>20</v>
      </c>
      <c r="W114" s="114">
        <v>24.1</v>
      </c>
      <c r="X114" s="114">
        <v>37.200000000000003</v>
      </c>
      <c r="Y114" s="114">
        <v>46.3</v>
      </c>
      <c r="Z114" s="114">
        <v>46</v>
      </c>
      <c r="AA114" s="114">
        <v>25.4</v>
      </c>
      <c r="AB114" s="114">
        <v>26.8</v>
      </c>
      <c r="AC114" s="114">
        <v>20</v>
      </c>
      <c r="AD114" s="114">
        <v>20</v>
      </c>
      <c r="AE114" s="114">
        <v>-74</v>
      </c>
      <c r="AF114" s="114">
        <v>-12</v>
      </c>
      <c r="AG114" s="113">
        <v>60</v>
      </c>
      <c r="AH114" s="47">
        <f t="shared" si="11"/>
        <v>46.3</v>
      </c>
      <c r="AI114" s="48">
        <f t="shared" si="12"/>
        <v>-74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22.3</v>
      </c>
      <c r="J115" s="116">
        <v>22.3</v>
      </c>
      <c r="K115" s="116">
        <v>45.6</v>
      </c>
      <c r="L115" s="116">
        <v>56.9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1"/>
        <v>56.9</v>
      </c>
      <c r="AI115" s="48">
        <f t="shared" si="12"/>
        <v>0</v>
      </c>
    </row>
    <row r="116" spans="1:37" x14ac:dyDescent="0.25">
      <c r="A116" s="115" t="s">
        <v>124</v>
      </c>
      <c r="B116" s="116">
        <v>30.4</v>
      </c>
      <c r="C116" s="116">
        <v>17.7</v>
      </c>
      <c r="D116" s="116">
        <v>0</v>
      </c>
      <c r="E116" s="116">
        <v>-2</v>
      </c>
      <c r="F116" s="116">
        <v>-11.4</v>
      </c>
      <c r="G116" s="116">
        <v>0</v>
      </c>
      <c r="H116" s="116">
        <v>14.7</v>
      </c>
      <c r="I116" s="116">
        <v>-26.2</v>
      </c>
      <c r="J116" s="116">
        <v>-26.2</v>
      </c>
      <c r="K116" s="116">
        <v>0</v>
      </c>
      <c r="L116" s="116">
        <v>3.5</v>
      </c>
      <c r="M116" s="116">
        <v>39</v>
      </c>
      <c r="N116" s="116">
        <v>53.5</v>
      </c>
      <c r="O116" s="116">
        <v>37.200000000000003</v>
      </c>
      <c r="P116" s="116">
        <v>47.2</v>
      </c>
      <c r="Q116" s="116">
        <v>76</v>
      </c>
      <c r="R116" s="116">
        <v>44.5</v>
      </c>
      <c r="S116" s="116">
        <v>50.1</v>
      </c>
      <c r="T116" s="116">
        <v>30.4</v>
      </c>
      <c r="U116" s="116">
        <v>33.299999999999997</v>
      </c>
      <c r="V116" s="116">
        <v>2.2999999999999998</v>
      </c>
      <c r="W116" s="116">
        <v>26.1</v>
      </c>
      <c r="X116" s="116">
        <v>43</v>
      </c>
      <c r="Y116" s="116">
        <v>68.400000000000006</v>
      </c>
      <c r="Z116" s="116">
        <v>30</v>
      </c>
      <c r="AA116" s="116">
        <v>49.8</v>
      </c>
      <c r="AB116" s="116">
        <v>38.299999999999997</v>
      </c>
      <c r="AC116" s="116">
        <v>70</v>
      </c>
      <c r="AD116" s="116">
        <v>70</v>
      </c>
      <c r="AE116" s="116">
        <v>45</v>
      </c>
      <c r="AF116" s="116">
        <v>90</v>
      </c>
      <c r="AG116" s="117"/>
      <c r="AH116" s="47">
        <f t="shared" si="11"/>
        <v>90</v>
      </c>
      <c r="AI116" s="48">
        <f t="shared" si="12"/>
        <v>-26.2</v>
      </c>
    </row>
    <row r="117" spans="1:37" x14ac:dyDescent="0.25">
      <c r="A117" s="115" t="s">
        <v>125</v>
      </c>
      <c r="B117" s="116">
        <v>1.1000000000000001</v>
      </c>
      <c r="C117" s="116">
        <v>-2.4</v>
      </c>
      <c r="D117" s="116">
        <v>-3.8</v>
      </c>
      <c r="E117" s="116">
        <v>0</v>
      </c>
      <c r="F117" s="116">
        <v>-8.9</v>
      </c>
      <c r="G117" s="116">
        <v>-6</v>
      </c>
      <c r="H117" s="116">
        <v>-5.5</v>
      </c>
      <c r="I117" s="116">
        <v>-13.7</v>
      </c>
      <c r="J117" s="116">
        <v>-13.7</v>
      </c>
      <c r="K117" s="116">
        <v>-12.1</v>
      </c>
      <c r="L117" s="116">
        <v>11</v>
      </c>
      <c r="M117" s="116">
        <v>-16.899999999999999</v>
      </c>
      <c r="N117" s="116">
        <v>-14.9</v>
      </c>
      <c r="O117" s="116">
        <v>-20.8</v>
      </c>
      <c r="P117" s="116">
        <v>-16.899999999999999</v>
      </c>
      <c r="Q117" s="116">
        <v>-8.1999999999999993</v>
      </c>
      <c r="R117" s="116">
        <v>-11</v>
      </c>
      <c r="S117" s="116">
        <v>-5.2</v>
      </c>
      <c r="T117" s="116">
        <v>-5.4</v>
      </c>
      <c r="U117" s="116">
        <v>-9.6</v>
      </c>
      <c r="V117" s="116">
        <v>-12</v>
      </c>
      <c r="W117" s="116">
        <v>-7.5</v>
      </c>
      <c r="X117" s="116">
        <v>-35.1</v>
      </c>
      <c r="Y117" s="116">
        <v>-36.200000000000003</v>
      </c>
      <c r="Z117" s="116">
        <v>-43.4</v>
      </c>
      <c r="AA117" s="116">
        <v>-38.1</v>
      </c>
      <c r="AB117" s="116">
        <v>-41.5</v>
      </c>
      <c r="AC117" s="116">
        <v>-35</v>
      </c>
      <c r="AD117" s="116">
        <v>-35</v>
      </c>
      <c r="AE117" s="116">
        <v>-14</v>
      </c>
      <c r="AF117" s="116">
        <v>-4</v>
      </c>
      <c r="AG117" s="118"/>
      <c r="AH117" s="47">
        <f t="shared" si="11"/>
        <v>11</v>
      </c>
      <c r="AI117" s="48">
        <f t="shared" si="12"/>
        <v>-43.4</v>
      </c>
    </row>
    <row r="118" spans="1:37" x14ac:dyDescent="0.25">
      <c r="A118" s="119" t="s">
        <v>126</v>
      </c>
      <c r="B118" s="105">
        <v>76.7</v>
      </c>
      <c r="C118" s="105">
        <v>78.5</v>
      </c>
      <c r="D118" s="105">
        <v>80.099999999999994</v>
      </c>
      <c r="E118" s="105">
        <v>81.2</v>
      </c>
      <c r="F118" s="105">
        <v>82.5</v>
      </c>
      <c r="G118" s="105">
        <v>87.5</v>
      </c>
      <c r="H118" s="105">
        <v>80.5</v>
      </c>
      <c r="I118" s="105">
        <v>76.900000000000006</v>
      </c>
      <c r="J118" s="105">
        <v>76.900000000000006</v>
      </c>
      <c r="K118" s="105">
        <v>72.3</v>
      </c>
      <c r="L118" s="105">
        <v>67.3</v>
      </c>
      <c r="M118" s="105">
        <v>62.2</v>
      </c>
      <c r="N118" s="105">
        <v>50.8</v>
      </c>
      <c r="O118" s="105">
        <v>62.1</v>
      </c>
      <c r="P118" s="105">
        <v>58.8</v>
      </c>
      <c r="Q118" s="105">
        <v>56.5</v>
      </c>
      <c r="R118" s="105">
        <v>58</v>
      </c>
      <c r="S118" s="105">
        <v>54.2</v>
      </c>
      <c r="T118" s="105">
        <v>56.4</v>
      </c>
      <c r="U118" s="105">
        <v>55.1</v>
      </c>
      <c r="V118" s="105">
        <v>56.4</v>
      </c>
      <c r="W118" s="105">
        <v>48.5</v>
      </c>
      <c r="X118" s="105">
        <v>37</v>
      </c>
      <c r="Y118" s="105">
        <v>35.6</v>
      </c>
      <c r="Z118" s="105">
        <v>38</v>
      </c>
      <c r="AA118" s="105">
        <v>41.6</v>
      </c>
      <c r="AB118" s="105">
        <v>44.4</v>
      </c>
      <c r="AC118" s="105">
        <v>49</v>
      </c>
      <c r="AD118" s="105">
        <v>49</v>
      </c>
      <c r="AE118" s="105">
        <v>57</v>
      </c>
      <c r="AF118" s="105">
        <v>64</v>
      </c>
      <c r="AG118" s="118"/>
      <c r="AH118" s="47">
        <f t="shared" si="11"/>
        <v>87.5</v>
      </c>
      <c r="AI118" s="48">
        <f t="shared" si="12"/>
        <v>35.6</v>
      </c>
    </row>
    <row r="119" spans="1:37" x14ac:dyDescent="0.25">
      <c r="A119" s="120" t="s">
        <v>127</v>
      </c>
      <c r="B119" s="105">
        <v>91</v>
      </c>
      <c r="C119" s="105">
        <v>90.2</v>
      </c>
      <c r="D119" s="105">
        <v>95.3</v>
      </c>
      <c r="E119" s="105">
        <v>96</v>
      </c>
      <c r="F119" s="105">
        <v>103.4</v>
      </c>
      <c r="G119" s="105">
        <v>93.3</v>
      </c>
      <c r="H119" s="105">
        <v>84.8</v>
      </c>
      <c r="I119" s="105">
        <v>94</v>
      </c>
      <c r="J119" s="105">
        <v>94</v>
      </c>
      <c r="K119" s="105">
        <v>86.1</v>
      </c>
      <c r="L119" s="105">
        <v>86.1</v>
      </c>
      <c r="M119" s="105">
        <v>75.2</v>
      </c>
      <c r="N119" s="105">
        <v>80.5</v>
      </c>
      <c r="O119" s="105">
        <v>76.7</v>
      </c>
      <c r="P119" s="105">
        <v>71.2</v>
      </c>
      <c r="Q119" s="105">
        <v>63.8</v>
      </c>
      <c r="R119" s="105">
        <v>77</v>
      </c>
      <c r="S119" s="105">
        <v>65.5</v>
      </c>
      <c r="T119" s="105">
        <v>77</v>
      </c>
      <c r="U119" s="105">
        <v>71.599999999999994</v>
      </c>
      <c r="V119" s="105">
        <v>80.8</v>
      </c>
      <c r="W119" s="105">
        <v>73.099999999999994</v>
      </c>
      <c r="X119" s="105">
        <v>63.5</v>
      </c>
      <c r="Y119" s="105">
        <v>57</v>
      </c>
      <c r="Z119" s="105">
        <v>75</v>
      </c>
      <c r="AA119" s="105">
        <v>67</v>
      </c>
      <c r="AB119" s="105">
        <v>76.599999999999994</v>
      </c>
      <c r="AC119" s="105">
        <v>60</v>
      </c>
      <c r="AD119" s="105">
        <v>60</v>
      </c>
      <c r="AE119" s="105">
        <v>73</v>
      </c>
      <c r="AF119" s="105">
        <v>66</v>
      </c>
      <c r="AG119" s="118"/>
      <c r="AH119" s="47">
        <f t="shared" si="11"/>
        <v>103.4</v>
      </c>
      <c r="AI119" s="48">
        <f t="shared" si="12"/>
        <v>57</v>
      </c>
    </row>
    <row r="120" spans="1:37" ht="15.75" thickBot="1" x14ac:dyDescent="0.3">
      <c r="A120" s="119" t="s">
        <v>128</v>
      </c>
      <c r="B120" s="105">
        <v>-20</v>
      </c>
      <c r="C120" s="105">
        <v>-21</v>
      </c>
      <c r="D120" s="105">
        <v>-23.6</v>
      </c>
      <c r="E120" s="105">
        <v>-24.9</v>
      </c>
      <c r="F120" s="105">
        <v>-24.2</v>
      </c>
      <c r="G120" s="105">
        <v>-33.5</v>
      </c>
      <c r="H120" s="105">
        <v>-30.8</v>
      </c>
      <c r="I120" s="105">
        <v>-28.8</v>
      </c>
      <c r="J120" s="105">
        <v>-28.8</v>
      </c>
      <c r="K120" s="105">
        <v>-23.8</v>
      </c>
      <c r="L120" s="105">
        <v>-18.3</v>
      </c>
      <c r="M120" s="105">
        <v>39</v>
      </c>
      <c r="N120" s="105">
        <v>-7.8</v>
      </c>
      <c r="O120" s="105">
        <v>-5.5</v>
      </c>
      <c r="P120" s="105">
        <v>3.5</v>
      </c>
      <c r="Q120" s="105">
        <v>-2.6</v>
      </c>
      <c r="R120" s="105">
        <v>0.6</v>
      </c>
      <c r="S120" s="105">
        <v>46.2</v>
      </c>
      <c r="T120" s="105">
        <v>36.1</v>
      </c>
      <c r="U120" s="105">
        <v>6.5</v>
      </c>
      <c r="V120" s="105">
        <v>-1</v>
      </c>
      <c r="W120" s="105">
        <v>-6.5</v>
      </c>
      <c r="X120" s="105">
        <v>9</v>
      </c>
      <c r="Y120" s="105">
        <v>18</v>
      </c>
      <c r="Z120" s="105">
        <v>18.100000000000001</v>
      </c>
      <c r="AA120" s="105">
        <v>15</v>
      </c>
      <c r="AB120" s="105">
        <v>14.7</v>
      </c>
      <c r="AC120" s="105">
        <v>11</v>
      </c>
      <c r="AD120" s="105">
        <v>11</v>
      </c>
      <c r="AE120" s="105">
        <v>2</v>
      </c>
      <c r="AF120" s="105">
        <v>-9</v>
      </c>
      <c r="AG120" s="118"/>
      <c r="AH120" s="47">
        <f t="shared" si="11"/>
        <v>46.2</v>
      </c>
      <c r="AI120" s="48">
        <f t="shared" si="12"/>
        <v>-33.5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8">SUM(B122:B226)</f>
        <v>0</v>
      </c>
      <c r="C227" s="136">
        <f t="shared" si="28"/>
        <v>0</v>
      </c>
      <c r="D227" s="136">
        <f t="shared" si="28"/>
        <v>0</v>
      </c>
      <c r="E227" s="136">
        <f t="shared" si="28"/>
        <v>0</v>
      </c>
      <c r="F227" s="136">
        <f t="shared" si="28"/>
        <v>0</v>
      </c>
      <c r="G227" s="136">
        <f t="shared" si="28"/>
        <v>0</v>
      </c>
      <c r="H227" s="136">
        <f t="shared" si="28"/>
        <v>0</v>
      </c>
      <c r="I227" s="136">
        <f t="shared" si="28"/>
        <v>0</v>
      </c>
      <c r="J227" s="136">
        <f t="shared" si="28"/>
        <v>0</v>
      </c>
      <c r="K227" s="136">
        <f t="shared" si="28"/>
        <v>0</v>
      </c>
      <c r="L227" s="136">
        <f t="shared" si="28"/>
        <v>0</v>
      </c>
      <c r="M227" s="136">
        <f t="shared" si="28"/>
        <v>0</v>
      </c>
      <c r="N227" s="136">
        <f t="shared" si="28"/>
        <v>0</v>
      </c>
      <c r="O227" s="136">
        <f t="shared" si="28"/>
        <v>0</v>
      </c>
      <c r="P227" s="136">
        <f t="shared" si="28"/>
        <v>0</v>
      </c>
      <c r="Q227" s="136">
        <f t="shared" si="28"/>
        <v>0</v>
      </c>
      <c r="R227" s="136">
        <f t="shared" si="28"/>
        <v>0</v>
      </c>
      <c r="S227" s="136">
        <f t="shared" si="28"/>
        <v>0</v>
      </c>
      <c r="T227" s="136">
        <f t="shared" si="28"/>
        <v>0</v>
      </c>
      <c r="U227" s="136">
        <f t="shared" si="28"/>
        <v>0</v>
      </c>
      <c r="V227" s="136">
        <f t="shared" si="28"/>
        <v>0</v>
      </c>
      <c r="W227" s="136">
        <f t="shared" si="28"/>
        <v>0</v>
      </c>
      <c r="X227" s="136">
        <f t="shared" si="28"/>
        <v>0</v>
      </c>
      <c r="Y227" s="136">
        <f t="shared" si="28"/>
        <v>0</v>
      </c>
      <c r="Z227" s="136">
        <f t="shared" si="28"/>
        <v>0</v>
      </c>
      <c r="AA227" s="136">
        <f t="shared" si="28"/>
        <v>0</v>
      </c>
      <c r="AB227" s="136">
        <f t="shared" si="28"/>
        <v>0</v>
      </c>
      <c r="AC227" s="136">
        <f t="shared" si="28"/>
        <v>0</v>
      </c>
      <c r="AD227" s="136">
        <f t="shared" si="28"/>
        <v>0</v>
      </c>
      <c r="AE227" s="136">
        <f t="shared" si="28"/>
        <v>0</v>
      </c>
      <c r="AF227" s="137">
        <f t="shared" si="28"/>
        <v>0</v>
      </c>
      <c r="AG227" s="138">
        <f t="shared" si="2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9">AF229</f>
        <v>0</v>
      </c>
      <c r="C229" s="140">
        <v>0.3</v>
      </c>
      <c r="D229" s="140">
        <f t="shared" ref="D229:P234" si="30">C229</f>
        <v>0.3</v>
      </c>
      <c r="E229" s="140">
        <f t="shared" si="30"/>
        <v>0.3</v>
      </c>
      <c r="F229" s="140">
        <f t="shared" si="30"/>
        <v>0.3</v>
      </c>
      <c r="G229" s="140">
        <f t="shared" si="30"/>
        <v>0.3</v>
      </c>
      <c r="H229" s="140">
        <f t="shared" si="30"/>
        <v>0.3</v>
      </c>
      <c r="I229" s="140">
        <f t="shared" si="30"/>
        <v>0.3</v>
      </c>
      <c r="J229" s="140">
        <f t="shared" si="30"/>
        <v>0.3</v>
      </c>
      <c r="K229" s="140">
        <f t="shared" si="30"/>
        <v>0.3</v>
      </c>
      <c r="L229" s="140">
        <f t="shared" si="30"/>
        <v>0.3</v>
      </c>
      <c r="M229" s="140">
        <f t="shared" si="30"/>
        <v>0.3</v>
      </c>
      <c r="N229" s="140">
        <f t="shared" si="30"/>
        <v>0.3</v>
      </c>
      <c r="O229" s="140">
        <f t="shared" si="30"/>
        <v>0.3</v>
      </c>
      <c r="P229" s="140">
        <f t="shared" si="3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9"/>
        <v>0</v>
      </c>
      <c r="C230" s="128">
        <v>0.4</v>
      </c>
      <c r="D230" s="128">
        <f t="shared" si="30"/>
        <v>0.4</v>
      </c>
      <c r="E230" s="128">
        <f t="shared" si="30"/>
        <v>0.4</v>
      </c>
      <c r="F230" s="128">
        <f t="shared" si="30"/>
        <v>0.4</v>
      </c>
      <c r="G230" s="128">
        <f t="shared" si="30"/>
        <v>0.4</v>
      </c>
      <c r="H230" s="128">
        <f t="shared" si="30"/>
        <v>0.4</v>
      </c>
      <c r="I230" s="128">
        <f t="shared" si="30"/>
        <v>0.4</v>
      </c>
      <c r="J230" s="128">
        <f t="shared" si="30"/>
        <v>0.4</v>
      </c>
      <c r="K230" s="128">
        <f t="shared" si="30"/>
        <v>0.4</v>
      </c>
      <c r="L230" s="128">
        <f t="shared" si="30"/>
        <v>0.4</v>
      </c>
      <c r="M230" s="128">
        <f t="shared" si="30"/>
        <v>0.4</v>
      </c>
      <c r="N230" s="128">
        <f t="shared" si="30"/>
        <v>0.4</v>
      </c>
      <c r="O230" s="128">
        <f t="shared" si="30"/>
        <v>0.4</v>
      </c>
      <c r="P230" s="128">
        <f t="shared" si="3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9"/>
        <v>0</v>
      </c>
      <c r="C231" s="128">
        <v>1.5</v>
      </c>
      <c r="D231" s="128">
        <f t="shared" si="30"/>
        <v>1.5</v>
      </c>
      <c r="E231" s="128">
        <f t="shared" si="30"/>
        <v>1.5</v>
      </c>
      <c r="F231" s="128">
        <f t="shared" si="30"/>
        <v>1.5</v>
      </c>
      <c r="G231" s="128">
        <f t="shared" si="30"/>
        <v>1.5</v>
      </c>
      <c r="H231" s="128">
        <f t="shared" si="3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0"/>
        <v>123.21900000000009</v>
      </c>
      <c r="K231" s="128">
        <f t="shared" ca="1" si="30"/>
        <v>123.21900000000009</v>
      </c>
      <c r="L231" s="128">
        <f t="shared" ca="1" si="30"/>
        <v>123.21900000000009</v>
      </c>
      <c r="M231" s="128">
        <f t="shared" ca="1" si="30"/>
        <v>119.19900000000008</v>
      </c>
      <c r="N231" s="128">
        <f t="shared" ca="1" si="30"/>
        <v>119.19900000000008</v>
      </c>
      <c r="O231" s="128">
        <f t="shared" ca="1" si="30"/>
        <v>119.19900000000008</v>
      </c>
      <c r="P231" s="128">
        <f t="shared" ca="1" si="3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9"/>
        <v>0</v>
      </c>
      <c r="C232" s="128">
        <v>0.3</v>
      </c>
      <c r="D232" s="128">
        <f t="shared" si="30"/>
        <v>0.3</v>
      </c>
      <c r="E232" s="128">
        <f t="shared" si="30"/>
        <v>0.3</v>
      </c>
      <c r="F232" s="128">
        <f t="shared" si="30"/>
        <v>0.3</v>
      </c>
      <c r="G232" s="128">
        <f t="shared" si="30"/>
        <v>0.3</v>
      </c>
      <c r="H232" s="128">
        <f t="shared" si="30"/>
        <v>0.3</v>
      </c>
      <c r="I232" s="128">
        <f t="shared" si="30"/>
        <v>0.3</v>
      </c>
      <c r="J232" s="128">
        <f t="shared" si="30"/>
        <v>0.3</v>
      </c>
      <c r="K232" s="128">
        <f t="shared" si="30"/>
        <v>0.3</v>
      </c>
      <c r="L232" s="128">
        <f t="shared" si="30"/>
        <v>0.3</v>
      </c>
      <c r="M232" s="128">
        <f t="shared" si="30"/>
        <v>0.3</v>
      </c>
      <c r="N232" s="128">
        <f t="shared" si="30"/>
        <v>0.3</v>
      </c>
      <c r="O232" s="128">
        <f t="shared" si="30"/>
        <v>0.3</v>
      </c>
      <c r="P232" s="128">
        <f t="shared" si="3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9"/>
        <v>0</v>
      </c>
      <c r="C233" s="128">
        <v>0.4</v>
      </c>
      <c r="D233" s="128">
        <f t="shared" si="30"/>
        <v>0.4</v>
      </c>
      <c r="E233" s="128">
        <f t="shared" si="30"/>
        <v>0.4</v>
      </c>
      <c r="F233" s="128">
        <f t="shared" si="30"/>
        <v>0.4</v>
      </c>
      <c r="G233" s="128">
        <f t="shared" si="30"/>
        <v>0.4</v>
      </c>
      <c r="H233" s="128">
        <f t="shared" si="30"/>
        <v>0.4</v>
      </c>
      <c r="I233" s="128">
        <f t="shared" si="30"/>
        <v>0.4</v>
      </c>
      <c r="J233" s="128">
        <f t="shared" si="30"/>
        <v>0.4</v>
      </c>
      <c r="K233" s="128">
        <f t="shared" si="30"/>
        <v>0.4</v>
      </c>
      <c r="L233" s="128">
        <f t="shared" si="30"/>
        <v>0.4</v>
      </c>
      <c r="M233" s="128">
        <f t="shared" si="30"/>
        <v>0.4</v>
      </c>
      <c r="N233" s="128">
        <f t="shared" si="30"/>
        <v>0.4</v>
      </c>
      <c r="O233" s="128">
        <f t="shared" si="30"/>
        <v>0.4</v>
      </c>
      <c r="P233" s="128">
        <f t="shared" si="3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9"/>
        <v>0</v>
      </c>
      <c r="C234" s="132">
        <v>0.64</v>
      </c>
      <c r="D234" s="132">
        <f t="shared" si="30"/>
        <v>0.64</v>
      </c>
      <c r="E234" s="132">
        <f t="shared" si="30"/>
        <v>0.64</v>
      </c>
      <c r="F234" s="132">
        <f t="shared" si="30"/>
        <v>0.64</v>
      </c>
      <c r="G234" s="132">
        <f t="shared" si="30"/>
        <v>0.64</v>
      </c>
      <c r="H234" s="132">
        <f t="shared" si="30"/>
        <v>0.64</v>
      </c>
      <c r="I234" s="132">
        <f t="shared" si="30"/>
        <v>0.64</v>
      </c>
      <c r="J234" s="132">
        <f t="shared" si="30"/>
        <v>0.64</v>
      </c>
      <c r="K234" s="132">
        <f t="shared" si="30"/>
        <v>0.64</v>
      </c>
      <c r="L234" s="132">
        <f t="shared" si="30"/>
        <v>0.64</v>
      </c>
      <c r="M234" s="132">
        <f t="shared" si="30"/>
        <v>0.64</v>
      </c>
      <c r="N234" s="132">
        <f t="shared" si="30"/>
        <v>0.64</v>
      </c>
      <c r="O234" s="132">
        <f t="shared" si="30"/>
        <v>0.64</v>
      </c>
      <c r="P234" s="132">
        <f t="shared" si="3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1">SUM(B229:B234)</f>
        <v>0</v>
      </c>
      <c r="C235" s="136">
        <f t="shared" si="31"/>
        <v>3.54</v>
      </c>
      <c r="D235" s="136">
        <f t="shared" si="31"/>
        <v>3.54</v>
      </c>
      <c r="E235" s="136">
        <f t="shared" si="31"/>
        <v>3.54</v>
      </c>
      <c r="F235" s="136">
        <f t="shared" si="31"/>
        <v>3.54</v>
      </c>
      <c r="G235" s="136">
        <f t="shared" si="31"/>
        <v>3.54</v>
      </c>
      <c r="H235" s="136">
        <f t="shared" si="31"/>
        <v>3.54</v>
      </c>
      <c r="I235" s="136">
        <f t="shared" ca="1" si="31"/>
        <v>121.23900000000009</v>
      </c>
      <c r="J235" s="136">
        <f t="shared" ca="1" si="31"/>
        <v>121.23900000000009</v>
      </c>
      <c r="K235" s="136">
        <f t="shared" ca="1" si="31"/>
        <v>121.23900000000009</v>
      </c>
      <c r="L235" s="136">
        <f t="shared" ca="1" si="31"/>
        <v>125.2590000000001</v>
      </c>
      <c r="M235" s="136">
        <f t="shared" ca="1" si="31"/>
        <v>121.23900000000009</v>
      </c>
      <c r="N235" s="136">
        <f t="shared" ca="1" si="31"/>
        <v>121.23900000000009</v>
      </c>
      <c r="O235" s="136">
        <f t="shared" ca="1" si="31"/>
        <v>121.23900000000009</v>
      </c>
      <c r="P235" s="136">
        <f t="shared" ca="1" si="31"/>
        <v>121.23900000000009</v>
      </c>
      <c r="Q235" s="136">
        <f t="shared" si="31"/>
        <v>0</v>
      </c>
      <c r="R235" s="136">
        <f t="shared" si="31"/>
        <v>0</v>
      </c>
      <c r="S235" s="136">
        <f t="shared" si="31"/>
        <v>0</v>
      </c>
      <c r="T235" s="136">
        <f t="shared" si="31"/>
        <v>0</v>
      </c>
      <c r="U235" s="136">
        <f t="shared" si="31"/>
        <v>0</v>
      </c>
      <c r="V235" s="136">
        <f t="shared" si="31"/>
        <v>0</v>
      </c>
      <c r="W235" s="136">
        <f t="shared" si="31"/>
        <v>0</v>
      </c>
      <c r="X235" s="136">
        <f t="shared" si="31"/>
        <v>0</v>
      </c>
      <c r="Y235" s="136">
        <f t="shared" si="31"/>
        <v>0</v>
      </c>
      <c r="Z235" s="136">
        <f t="shared" si="31"/>
        <v>0</v>
      </c>
      <c r="AA235" s="136">
        <f t="shared" si="31"/>
        <v>0</v>
      </c>
      <c r="AB235" s="136">
        <f t="shared" si="31"/>
        <v>0</v>
      </c>
      <c r="AC235" s="136">
        <f t="shared" si="31"/>
        <v>0</v>
      </c>
      <c r="AD235" s="136">
        <f t="shared" si="31"/>
        <v>0</v>
      </c>
      <c r="AE235" s="136">
        <f t="shared" si="31"/>
        <v>0</v>
      </c>
      <c r="AF235" s="136">
        <f t="shared" si="31"/>
        <v>0</v>
      </c>
      <c r="AG235" s="145">
        <f t="shared" si="3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2185.06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09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2080/05/9)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2080/05/9)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2">B91</f>
        <v>2077.3599999999997</v>
      </c>
      <c r="U249" s="170">
        <f t="shared" si="32"/>
        <v>2077.3599999999997</v>
      </c>
      <c r="V249" s="170">
        <f t="shared" si="32"/>
        <v>2079.3599999999997</v>
      </c>
      <c r="W249" s="170">
        <f t="shared" si="32"/>
        <v>2069.3599999999997</v>
      </c>
      <c r="X249" s="170">
        <f t="shared" si="32"/>
        <v>2061.3599999999997</v>
      </c>
      <c r="Y249" s="170">
        <f t="shared" si="32"/>
        <v>2121.36</v>
      </c>
      <c r="Z249" s="170">
        <f t="shared" si="32"/>
        <v>2061.3599999999997</v>
      </c>
      <c r="AA249" s="170">
        <f t="shared" si="32"/>
        <v>2113.3599999999997</v>
      </c>
      <c r="AB249" s="170">
        <f t="shared" si="32"/>
        <v>2122.16</v>
      </c>
      <c r="AC249" s="170">
        <f t="shared" si="32"/>
        <v>2136.7599999999998</v>
      </c>
      <c r="AD249" s="170">
        <f t="shared" si="32"/>
        <v>2173.16</v>
      </c>
      <c r="AE249" s="170">
        <f t="shared" si="32"/>
        <v>2185.06</v>
      </c>
      <c r="AF249" s="170">
        <f t="shared" si="32"/>
        <v>2175.06</v>
      </c>
      <c r="AG249" s="170">
        <f t="shared" si="32"/>
        <v>2179.16</v>
      </c>
      <c r="AH249" s="170">
        <f t="shared" si="32"/>
        <v>2174.16</v>
      </c>
      <c r="AI249" s="170">
        <f t="shared" si="32"/>
        <v>2140.2599999999998</v>
      </c>
      <c r="AJ249" s="170">
        <f t="shared" si="32"/>
        <v>2142.96</v>
      </c>
      <c r="AK249" s="170">
        <f t="shared" si="32"/>
        <v>2058.16</v>
      </c>
      <c r="AL249" s="170">
        <f t="shared" si="32"/>
        <v>2071.96</v>
      </c>
      <c r="AM249" s="170">
        <f t="shared" si="32"/>
        <v>2099.46</v>
      </c>
      <c r="AN249" s="170">
        <f t="shared" si="32"/>
        <v>2124.16</v>
      </c>
      <c r="AO249" s="170">
        <f t="shared" si="32"/>
        <v>2177.66</v>
      </c>
      <c r="AP249" s="170">
        <f t="shared" si="32"/>
        <v>2183.56</v>
      </c>
      <c r="AQ249" s="170">
        <f t="shared" si="32"/>
        <v>2248.3599999999997</v>
      </c>
      <c r="AR249" s="170">
        <f t="shared" si="32"/>
        <v>2248.3599999999997</v>
      </c>
      <c r="AS249" s="170">
        <f t="shared" si="32"/>
        <v>2215.7599999999998</v>
      </c>
      <c r="AT249" s="170">
        <f t="shared" si="32"/>
        <v>2201.8599999999997</v>
      </c>
      <c r="AU249" s="170">
        <f t="shared" si="32"/>
        <v>2151.8599999999997</v>
      </c>
      <c r="AV249" s="170">
        <f t="shared" si="32"/>
        <v>2141.56</v>
      </c>
      <c r="AW249" s="170">
        <f t="shared" si="32"/>
        <v>2091.56</v>
      </c>
      <c r="AX249" s="170">
        <f t="shared" si="32"/>
        <v>2064.06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3">C234</f>
        <v>0.64</v>
      </c>
      <c r="C270" s="173">
        <f t="shared" si="33"/>
        <v>0.64</v>
      </c>
      <c r="D270" s="173">
        <f t="shared" si="33"/>
        <v>0.64</v>
      </c>
      <c r="E270" s="173">
        <f t="shared" si="33"/>
        <v>0.64</v>
      </c>
      <c r="F270" s="173">
        <f t="shared" si="33"/>
        <v>0.64</v>
      </c>
      <c r="G270" s="173">
        <f t="shared" si="33"/>
        <v>0.64</v>
      </c>
      <c r="H270" s="173">
        <f t="shared" si="33"/>
        <v>0.64</v>
      </c>
      <c r="I270" s="173">
        <f t="shared" si="33"/>
        <v>0.64</v>
      </c>
      <c r="J270" s="173">
        <f t="shared" si="33"/>
        <v>0.64</v>
      </c>
      <c r="K270" s="173">
        <f t="shared" si="33"/>
        <v>0.64</v>
      </c>
      <c r="L270" s="173">
        <f t="shared" si="33"/>
        <v>0.64</v>
      </c>
      <c r="M270" s="173">
        <f t="shared" si="33"/>
        <v>0.64</v>
      </c>
      <c r="N270" s="173">
        <f t="shared" si="33"/>
        <v>0.64</v>
      </c>
      <c r="O270" s="173">
        <f t="shared" si="33"/>
        <v>0.64</v>
      </c>
      <c r="P270" s="173">
        <f t="shared" si="33"/>
        <v>0</v>
      </c>
      <c r="Q270" s="173">
        <f t="shared" si="33"/>
        <v>0</v>
      </c>
      <c r="R270" s="173">
        <f t="shared" si="33"/>
        <v>0</v>
      </c>
      <c r="S270" s="173">
        <f t="shared" si="33"/>
        <v>0</v>
      </c>
      <c r="T270" s="173">
        <f t="shared" si="33"/>
        <v>0</v>
      </c>
      <c r="U270" s="173">
        <f t="shared" si="33"/>
        <v>0</v>
      </c>
      <c r="V270" s="173">
        <f t="shared" si="33"/>
        <v>0</v>
      </c>
      <c r="W270" s="173">
        <f t="shared" si="33"/>
        <v>0</v>
      </c>
      <c r="X270" s="173">
        <f t="shared" si="33"/>
        <v>0</v>
      </c>
      <c r="Y270" s="173">
        <f t="shared" si="33"/>
        <v>0</v>
      </c>
      <c r="Z270" s="173">
        <f t="shared" si="33"/>
        <v>0</v>
      </c>
      <c r="AA270" s="173">
        <f t="shared" si="33"/>
        <v>0</v>
      </c>
      <c r="AB270" s="173">
        <f t="shared" si="33"/>
        <v>0</v>
      </c>
      <c r="AC270" s="173">
        <f t="shared" si="33"/>
        <v>0</v>
      </c>
      <c r="AD270" s="173">
        <f t="shared" si="33"/>
        <v>0</v>
      </c>
      <c r="AE270" s="173">
        <f t="shared" si="3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4">IF(B238&lt;100,"",B238-520)</f>
        <v/>
      </c>
      <c r="C271" s="174" t="str">
        <f t="shared" si="34"/>
        <v/>
      </c>
      <c r="D271" s="174" t="str">
        <f t="shared" si="34"/>
        <v/>
      </c>
      <c r="E271" s="174" t="str">
        <f t="shared" si="34"/>
        <v/>
      </c>
      <c r="F271" s="174" t="str">
        <f t="shared" si="34"/>
        <v/>
      </c>
      <c r="G271" s="174" t="str">
        <f t="shared" si="34"/>
        <v/>
      </c>
      <c r="H271" s="174" t="str">
        <f t="shared" si="34"/>
        <v/>
      </c>
      <c r="I271" s="174" t="str">
        <f t="shared" si="34"/>
        <v/>
      </c>
      <c r="J271" s="174" t="str">
        <f t="shared" si="34"/>
        <v/>
      </c>
      <c r="K271" s="174" t="str">
        <f t="shared" si="34"/>
        <v/>
      </c>
      <c r="L271" s="174" t="str">
        <f t="shared" si="34"/>
        <v/>
      </c>
      <c r="M271" s="174" t="str">
        <f t="shared" si="34"/>
        <v/>
      </c>
      <c r="N271" s="174" t="str">
        <f t="shared" si="34"/>
        <v/>
      </c>
      <c r="O271" s="174" t="str">
        <f t="shared" si="34"/>
        <v/>
      </c>
      <c r="P271" s="174" t="str">
        <f t="shared" si="34"/>
        <v/>
      </c>
      <c r="Q271" s="174" t="str">
        <f t="shared" si="34"/>
        <v/>
      </c>
      <c r="R271" s="174" t="str">
        <f t="shared" si="34"/>
        <v/>
      </c>
      <c r="S271" s="174" t="str">
        <f t="shared" si="34"/>
        <v/>
      </c>
      <c r="T271" s="174" t="str">
        <f t="shared" si="34"/>
        <v/>
      </c>
      <c r="U271" s="174" t="str">
        <f t="shared" si="34"/>
        <v/>
      </c>
      <c r="V271" s="174" t="str">
        <f t="shared" si="34"/>
        <v/>
      </c>
      <c r="W271" s="174" t="str">
        <f t="shared" si="34"/>
        <v/>
      </c>
      <c r="X271" s="174" t="str">
        <f t="shared" si="34"/>
        <v/>
      </c>
      <c r="Y271" s="174" t="str">
        <f t="shared" si="34"/>
        <v/>
      </c>
      <c r="Z271" s="174" t="str">
        <f t="shared" si="34"/>
        <v/>
      </c>
      <c r="AA271" s="174" t="str">
        <f t="shared" si="34"/>
        <v/>
      </c>
      <c r="AB271" s="174" t="str">
        <f t="shared" si="34"/>
        <v/>
      </c>
      <c r="AC271" s="174" t="str">
        <f t="shared" si="34"/>
        <v/>
      </c>
      <c r="AD271" s="174" t="str">
        <f t="shared" si="34"/>
        <v/>
      </c>
      <c r="AE271" s="174" t="str">
        <f t="shared" si="34"/>
        <v/>
      </c>
      <c r="AF271" s="174" t="str">
        <f t="shared" si="3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5">IF(B239&lt;100,"",B239-620)</f>
        <v/>
      </c>
      <c r="C272" s="174" t="str">
        <f t="shared" si="35"/>
        <v/>
      </c>
      <c r="D272" s="174" t="str">
        <f t="shared" si="35"/>
        <v/>
      </c>
      <c r="E272" s="174" t="str">
        <f t="shared" si="35"/>
        <v/>
      </c>
      <c r="F272" s="174" t="str">
        <f t="shared" si="35"/>
        <v/>
      </c>
      <c r="G272" s="174" t="str">
        <f t="shared" si="35"/>
        <v/>
      </c>
      <c r="H272" s="174" t="str">
        <f t="shared" si="35"/>
        <v/>
      </c>
      <c r="I272" s="174" t="str">
        <f t="shared" si="35"/>
        <v/>
      </c>
      <c r="J272" s="174" t="str">
        <f t="shared" si="35"/>
        <v/>
      </c>
      <c r="K272" s="174" t="str">
        <f t="shared" si="35"/>
        <v/>
      </c>
      <c r="L272" s="174" t="str">
        <f t="shared" si="35"/>
        <v/>
      </c>
      <c r="M272" s="174" t="str">
        <f t="shared" si="35"/>
        <v/>
      </c>
      <c r="N272" s="174" t="str">
        <f t="shared" si="35"/>
        <v/>
      </c>
      <c r="O272" s="174" t="str">
        <f t="shared" si="35"/>
        <v/>
      </c>
      <c r="P272" s="174" t="str">
        <f t="shared" si="35"/>
        <v/>
      </c>
      <c r="Q272" s="174" t="str">
        <f t="shared" si="35"/>
        <v/>
      </c>
      <c r="R272" s="174" t="str">
        <f t="shared" si="35"/>
        <v/>
      </c>
      <c r="S272" s="174" t="str">
        <f t="shared" si="35"/>
        <v/>
      </c>
      <c r="T272" s="174" t="str">
        <f t="shared" si="35"/>
        <v/>
      </c>
      <c r="U272" s="174" t="str">
        <f t="shared" si="35"/>
        <v/>
      </c>
      <c r="V272" s="174" t="str">
        <f t="shared" si="35"/>
        <v/>
      </c>
      <c r="W272" s="174" t="str">
        <f t="shared" si="35"/>
        <v/>
      </c>
      <c r="X272" s="174" t="str">
        <f t="shared" si="35"/>
        <v/>
      </c>
      <c r="Y272" s="174" t="str">
        <f t="shared" si="35"/>
        <v/>
      </c>
      <c r="Z272" s="174" t="str">
        <f t="shared" si="35"/>
        <v/>
      </c>
      <c r="AA272" s="174" t="str">
        <f t="shared" si="35"/>
        <v/>
      </c>
      <c r="AB272" s="174" t="str">
        <f t="shared" si="35"/>
        <v/>
      </c>
      <c r="AC272" s="174" t="str">
        <f t="shared" si="35"/>
        <v/>
      </c>
      <c r="AD272" s="174" t="str">
        <f t="shared" si="35"/>
        <v/>
      </c>
      <c r="AE272" s="174" t="str">
        <f t="shared" si="35"/>
        <v/>
      </c>
      <c r="AF272" s="174" t="str">
        <f t="shared" si="3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6">IF(B240&lt;100,"",B240-330)</f>
        <v/>
      </c>
      <c r="C273" s="174" t="str">
        <f t="shared" si="36"/>
        <v/>
      </c>
      <c r="D273" s="174" t="str">
        <f t="shared" si="36"/>
        <v/>
      </c>
      <c r="E273" s="174" t="str">
        <f t="shared" si="36"/>
        <v/>
      </c>
      <c r="F273" s="174" t="str">
        <f t="shared" si="36"/>
        <v/>
      </c>
      <c r="G273" s="174" t="str">
        <f t="shared" si="36"/>
        <v/>
      </c>
      <c r="H273" s="174" t="str">
        <f t="shared" si="36"/>
        <v/>
      </c>
      <c r="I273" s="174" t="str">
        <f t="shared" si="36"/>
        <v/>
      </c>
      <c r="J273" s="174" t="str">
        <f t="shared" si="36"/>
        <v/>
      </c>
      <c r="K273" s="174" t="str">
        <f t="shared" si="36"/>
        <v/>
      </c>
      <c r="L273" s="174" t="str">
        <f t="shared" si="36"/>
        <v/>
      </c>
      <c r="M273" s="174" t="str">
        <f t="shared" si="36"/>
        <v/>
      </c>
      <c r="N273" s="174" t="str">
        <f t="shared" si="36"/>
        <v/>
      </c>
      <c r="O273" s="174" t="str">
        <f t="shared" si="36"/>
        <v/>
      </c>
      <c r="P273" s="174" t="str">
        <f t="shared" si="36"/>
        <v/>
      </c>
      <c r="Q273" s="174" t="str">
        <f t="shared" si="36"/>
        <v/>
      </c>
      <c r="R273" s="174" t="str">
        <f t="shared" si="36"/>
        <v/>
      </c>
      <c r="S273" s="174" t="str">
        <f t="shared" si="36"/>
        <v/>
      </c>
      <c r="T273" s="174" t="str">
        <f t="shared" si="36"/>
        <v/>
      </c>
      <c r="U273" s="174" t="str">
        <f t="shared" si="36"/>
        <v/>
      </c>
      <c r="V273" s="174" t="str">
        <f t="shared" si="36"/>
        <v/>
      </c>
      <c r="W273" s="174" t="str">
        <f t="shared" si="36"/>
        <v/>
      </c>
      <c r="X273" s="174" t="str">
        <f t="shared" si="36"/>
        <v/>
      </c>
      <c r="Y273" s="174" t="str">
        <f t="shared" si="36"/>
        <v/>
      </c>
      <c r="Z273" s="174" t="str">
        <f t="shared" si="36"/>
        <v/>
      </c>
      <c r="AA273" s="174" t="str">
        <f t="shared" si="36"/>
        <v/>
      </c>
      <c r="AB273" s="174" t="str">
        <f t="shared" si="36"/>
        <v/>
      </c>
      <c r="AC273" s="174" t="str">
        <f t="shared" si="36"/>
        <v/>
      </c>
      <c r="AD273" s="174" t="str">
        <f t="shared" si="36"/>
        <v/>
      </c>
      <c r="AE273" s="174" t="str">
        <f t="shared" si="36"/>
        <v/>
      </c>
      <c r="AF273" s="174" t="str">
        <f t="shared" si="3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7">IF(B241&lt;100,"",B241-1500)</f>
        <v/>
      </c>
      <c r="C274" s="174" t="str">
        <f t="shared" si="37"/>
        <v/>
      </c>
      <c r="D274" s="174" t="str">
        <f t="shared" si="37"/>
        <v/>
      </c>
      <c r="E274" s="174" t="str">
        <f t="shared" si="37"/>
        <v/>
      </c>
      <c r="F274" s="174" t="str">
        <f t="shared" si="37"/>
        <v/>
      </c>
      <c r="G274" s="174" t="str">
        <f t="shared" si="37"/>
        <v/>
      </c>
      <c r="H274" s="174" t="str">
        <f t="shared" si="37"/>
        <v/>
      </c>
      <c r="I274" s="174" t="str">
        <f t="shared" si="37"/>
        <v/>
      </c>
      <c r="J274" s="174" t="str">
        <f t="shared" si="37"/>
        <v/>
      </c>
      <c r="K274" s="174" t="str">
        <f t="shared" si="37"/>
        <v/>
      </c>
      <c r="L274" s="174" t="str">
        <f t="shared" si="37"/>
        <v/>
      </c>
      <c r="M274" s="174" t="str">
        <f t="shared" si="37"/>
        <v/>
      </c>
      <c r="N274" s="174" t="str">
        <f t="shared" si="37"/>
        <v/>
      </c>
      <c r="O274" s="174" t="str">
        <f t="shared" si="37"/>
        <v/>
      </c>
      <c r="P274" s="174" t="str">
        <f t="shared" si="37"/>
        <v/>
      </c>
      <c r="Q274" s="174" t="str">
        <f t="shared" si="37"/>
        <v/>
      </c>
      <c r="R274" s="174" t="str">
        <f t="shared" si="37"/>
        <v/>
      </c>
      <c r="S274" s="174" t="str">
        <f t="shared" si="37"/>
        <v/>
      </c>
      <c r="T274" s="174" t="str">
        <f t="shared" si="37"/>
        <v/>
      </c>
      <c r="U274" s="174" t="str">
        <f t="shared" si="37"/>
        <v/>
      </c>
      <c r="V274" s="174" t="str">
        <f t="shared" si="37"/>
        <v/>
      </c>
      <c r="W274" s="174" t="str">
        <f t="shared" si="37"/>
        <v/>
      </c>
      <c r="X274" s="174" t="str">
        <f t="shared" si="37"/>
        <v/>
      </c>
      <c r="Y274" s="174" t="str">
        <f t="shared" si="37"/>
        <v/>
      </c>
      <c r="Z274" s="174" t="str">
        <f t="shared" si="37"/>
        <v/>
      </c>
      <c r="AA274" s="174" t="str">
        <f t="shared" si="37"/>
        <v/>
      </c>
      <c r="AB274" s="174" t="str">
        <f t="shared" si="37"/>
        <v/>
      </c>
      <c r="AC274" s="174" t="str">
        <f t="shared" si="37"/>
        <v/>
      </c>
      <c r="AD274" s="174" t="str">
        <f t="shared" si="37"/>
        <v/>
      </c>
      <c r="AE274" s="174" t="str">
        <f t="shared" si="37"/>
        <v/>
      </c>
      <c r="AF274" s="174" t="str">
        <f t="shared" si="3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870" priority="64">
      <formula>$AH11=0</formula>
    </cfRule>
  </conditionalFormatting>
  <conditionalFormatting sqref="B8 M8 S8 AB8">
    <cfRule type="expression" dxfId="2869" priority="115">
      <formula>AND(C$9&gt;=14/24,C$9&lt;20/24)</formula>
    </cfRule>
    <cfRule type="expression" dxfId="2868" priority="116">
      <formula>AND(C$9&gt;=8/24,C$9&lt;14/24)</formula>
    </cfRule>
    <cfRule type="expression" dxfId="2867" priority="117">
      <formula>C$9&lt;8/24</formula>
    </cfRule>
  </conditionalFormatting>
  <conditionalFormatting sqref="B54:C54">
    <cfRule type="expression" dxfId="2866" priority="38">
      <formula>B$9&gt;=20/24</formula>
    </cfRule>
    <cfRule type="expression" dxfId="2865" priority="39">
      <formula>AND(B$9&gt;=14/24,B$9&lt;20/24)</formula>
    </cfRule>
    <cfRule type="expression" dxfId="2864" priority="40">
      <formula>AND(B$9&gt;=8/24,B$9&lt;14/24)</formula>
    </cfRule>
    <cfRule type="expression" dxfId="2863" priority="41">
      <formula>B$9&lt;8/24</formula>
    </cfRule>
  </conditionalFormatting>
  <conditionalFormatting sqref="B54:C66 D55:L66">
    <cfRule type="expression" dxfId="2862" priority="33">
      <formula>B54&gt;$AG54</formula>
    </cfRule>
  </conditionalFormatting>
  <conditionalFormatting sqref="B55:L59">
    <cfRule type="expression" dxfId="2861" priority="60">
      <formula>B$9&gt;=20/24</formula>
    </cfRule>
    <cfRule type="expression" dxfId="2860" priority="61">
      <formula>AND(B$9&gt;=14/24,B$9&lt;20/24)</formula>
    </cfRule>
    <cfRule type="expression" dxfId="2859" priority="62">
      <formula>AND(B$9&gt;=8/24,B$9&lt;14/24)</formula>
    </cfRule>
    <cfRule type="expression" dxfId="2858" priority="63">
      <formula>B$9&lt;8/24</formula>
    </cfRule>
  </conditionalFormatting>
  <conditionalFormatting sqref="B60:T60">
    <cfRule type="expression" dxfId="2857" priority="51">
      <formula>B$9&gt;=20/24</formula>
    </cfRule>
    <cfRule type="expression" dxfId="2856" priority="52">
      <formula>AND(B$9&gt;=14/24,B$9&lt;20/24)</formula>
    </cfRule>
    <cfRule type="expression" dxfId="2855" priority="53">
      <formula>AND(B$9&gt;=8/24,B$9&lt;14/24)</formula>
    </cfRule>
    <cfRule type="expression" dxfId="2854" priority="54">
      <formula>B$9&lt;8/24</formula>
    </cfRule>
  </conditionalFormatting>
  <conditionalFormatting sqref="B61:AF66">
    <cfRule type="expression" dxfId="2853" priority="34">
      <formula>B$9&gt;=20/24</formula>
    </cfRule>
    <cfRule type="expression" dxfId="2852" priority="35">
      <formula>AND(B$9&gt;=14/24,B$9&lt;20/24)</formula>
    </cfRule>
    <cfRule type="expression" dxfId="2851" priority="36">
      <formula>AND(B$9&gt;=8/24,B$9&lt;14/24)</formula>
    </cfRule>
    <cfRule type="expression" dxfId="2850" priority="37">
      <formula>B$9&lt;8/24</formula>
    </cfRule>
  </conditionalFormatting>
  <conditionalFormatting sqref="B9:AF45">
    <cfRule type="expression" dxfId="2849" priority="23">
      <formula>B$9&gt;=20/24</formula>
    </cfRule>
    <cfRule type="expression" dxfId="2848" priority="24">
      <formula>AND(B$9&gt;=14/24,B$9&lt;20/24)</formula>
    </cfRule>
    <cfRule type="expression" dxfId="2847" priority="25">
      <formula>AND(B$9&gt;=8/24,B$9&lt;14/24)</formula>
    </cfRule>
    <cfRule type="expression" dxfId="2846" priority="26">
      <formula>B$9&lt;8/24</formula>
    </cfRule>
  </conditionalFormatting>
  <conditionalFormatting sqref="B11:AF46">
    <cfRule type="expression" dxfId="2845" priority="22">
      <formula>B11&gt;$AG11</formula>
    </cfRule>
  </conditionalFormatting>
  <conditionalFormatting sqref="B46:AF46">
    <cfRule type="expression" dxfId="2844" priority="18">
      <formula>B$9&gt;=20/24</formula>
    </cfRule>
    <cfRule type="expression" dxfId="2843" priority="19">
      <formula>AND(B$9&gt;=14/24,B$9&lt;20/24)</formula>
    </cfRule>
    <cfRule type="expression" dxfId="2842" priority="20">
      <formula>AND(B$9&gt;=8/24,B$9&lt;14/24)</formula>
    </cfRule>
    <cfRule type="expression" dxfId="2841" priority="21">
      <formula>B$9&lt;8/24</formula>
    </cfRule>
  </conditionalFormatting>
  <conditionalFormatting sqref="B47:AF47">
    <cfRule type="expression" dxfId="2840" priority="32">
      <formula>B47&gt;$AG47</formula>
    </cfRule>
  </conditionalFormatting>
  <conditionalFormatting sqref="B47:AF49">
    <cfRule type="expression" dxfId="2839" priority="28">
      <formula>B$9&gt;=20/24</formula>
    </cfRule>
    <cfRule type="expression" dxfId="2838" priority="29">
      <formula>AND(B$9&gt;=14/24,B$9&lt;20/24)</formula>
    </cfRule>
    <cfRule type="expression" dxfId="2837" priority="30">
      <formula>AND(B$9&gt;=8/24,B$9&lt;14/24)</formula>
    </cfRule>
    <cfRule type="expression" dxfId="2836" priority="31">
      <formula>B$9&lt;8/24</formula>
    </cfRule>
  </conditionalFormatting>
  <conditionalFormatting sqref="B48:AF53">
    <cfRule type="expression" dxfId="2835" priority="27">
      <formula>B48&gt;$AG48</formula>
    </cfRule>
  </conditionalFormatting>
  <conditionalFormatting sqref="B51:AF53">
    <cfRule type="expression" dxfId="2834" priority="47">
      <formula>B$9&gt;=20/24</formula>
    </cfRule>
    <cfRule type="expression" dxfId="2833" priority="48">
      <formula>AND(B$9&gt;=14/24,B$9&lt;20/24)</formula>
    </cfRule>
    <cfRule type="expression" dxfId="2832" priority="49">
      <formula>AND(B$9&gt;=8/24,B$9&lt;14/24)</formula>
    </cfRule>
    <cfRule type="expression" dxfId="2831" priority="50">
      <formula>B$9&lt;8/24</formula>
    </cfRule>
  </conditionalFormatting>
  <conditionalFormatting sqref="B69:AF71">
    <cfRule type="expression" dxfId="2830" priority="55">
      <formula>B69&gt;$AG69</formula>
    </cfRule>
    <cfRule type="expression" dxfId="2829" priority="56">
      <formula>B$9&gt;=20/24</formula>
    </cfRule>
    <cfRule type="expression" dxfId="2828" priority="57">
      <formula>AND(B$9&gt;=14/24,B$9&lt;20/24)</formula>
    </cfRule>
    <cfRule type="expression" dxfId="2827" priority="58">
      <formula>AND(B$9&gt;=8/24,B$9&lt;14/24)</formula>
    </cfRule>
    <cfRule type="expression" dxfId="2826" priority="59">
      <formula>B$9&lt;8/24</formula>
    </cfRule>
  </conditionalFormatting>
  <conditionalFormatting sqref="B73:AF91">
    <cfRule type="expression" dxfId="2825" priority="1">
      <formula>B$9&gt;=20/24</formula>
    </cfRule>
    <cfRule type="expression" dxfId="2824" priority="2">
      <formula>AND(B$9&gt;=14/24,B$9&lt;20/24)</formula>
    </cfRule>
    <cfRule type="expression" dxfId="2823" priority="3">
      <formula>AND(B$9&gt;=8/24,B$9&lt;14/24)</formula>
    </cfRule>
    <cfRule type="expression" dxfId="2822" priority="4">
      <formula>B$9&lt;8/24</formula>
    </cfRule>
  </conditionalFormatting>
  <conditionalFormatting sqref="B111:AF120">
    <cfRule type="expression" dxfId="2821" priority="14">
      <formula>B$9&gt;=20/24</formula>
    </cfRule>
    <cfRule type="expression" dxfId="2820" priority="15">
      <formula>AND(B$9&gt;=14/24,B$9&lt;20/24)</formula>
    </cfRule>
    <cfRule type="expression" dxfId="2819" priority="16">
      <formula>AND(B$9&gt;=8/24,B$9&lt;14/24)</formula>
    </cfRule>
    <cfRule type="expression" dxfId="2818" priority="17">
      <formula>B$9&lt;8/24</formula>
    </cfRule>
  </conditionalFormatting>
  <conditionalFormatting sqref="B227:AF227 D229:AF230 B229:B235 D231:H231 J231:AF231 D232:AF235 U248:AF248">
    <cfRule type="expression" dxfId="2817" priority="108">
      <formula>B$9&gt;=20/24</formula>
    </cfRule>
    <cfRule type="expression" dxfId="2816" priority="109">
      <formula>AND(B$9&gt;=14/24,B$9&lt;20/24)</formula>
    </cfRule>
    <cfRule type="expression" dxfId="2815" priority="110">
      <formula>AND(B$9&gt;=8/24,B$9&lt;14/24)</formula>
    </cfRule>
    <cfRule type="expression" dxfId="2814" priority="111">
      <formula>B$9&lt;8/24</formula>
    </cfRule>
  </conditionalFormatting>
  <conditionalFormatting sqref="B67:AG68 B72:AG72">
    <cfRule type="expression" dxfId="2813" priority="42">
      <formula>B67&gt;$AG67</formula>
    </cfRule>
  </conditionalFormatting>
  <conditionalFormatting sqref="B72:AG72 B93:AF109">
    <cfRule type="expression" dxfId="2812" priority="43">
      <formula>B$9&gt;=20/24</formula>
    </cfRule>
    <cfRule type="expression" dxfId="2811" priority="44">
      <formula>AND(B$9&gt;=14/24,B$9&lt;20/24)</formula>
    </cfRule>
    <cfRule type="expression" dxfId="2810" priority="45">
      <formula>AND(B$9&gt;=8/24,B$9&lt;14/24)</formula>
    </cfRule>
    <cfRule type="expression" dxfId="2809" priority="46">
      <formula>B$9&lt;8/24</formula>
    </cfRule>
  </conditionalFormatting>
  <conditionalFormatting sqref="M55:AF66">
    <cfRule type="expression" dxfId="2808" priority="5">
      <formula>M55&gt;$AG55</formula>
    </cfRule>
  </conditionalFormatting>
  <conditionalFormatting sqref="D54:AG54">
    <cfRule type="expression" dxfId="2807" priority="76">
      <formula>D54&gt;$AG54</formula>
    </cfRule>
    <cfRule type="expression" dxfId="2806" priority="77">
      <formula>D$9&gt;=20/24</formula>
    </cfRule>
    <cfRule type="expression" dxfId="2805" priority="78">
      <formula>AND(D$9&gt;=14/24,D$9&lt;20/24)</formula>
    </cfRule>
    <cfRule type="expression" dxfId="2804" priority="79">
      <formula>AND(D$9&gt;=8/24,D$9&lt;14/24)</formula>
    </cfRule>
    <cfRule type="expression" dxfId="2803" priority="80">
      <formula>D$9&lt;8/24</formula>
    </cfRule>
  </conditionalFormatting>
  <conditionalFormatting sqref="M55:R59">
    <cfRule type="expression" dxfId="2802" priority="93">
      <formula>M$9&gt;=20/24</formula>
    </cfRule>
    <cfRule type="expression" dxfId="2801" priority="94">
      <formula>AND(M$9&gt;=14/24,M$9&lt;20/24)</formula>
    </cfRule>
    <cfRule type="expression" dxfId="2800" priority="95">
      <formula>AND(M$9&gt;=8/24,M$9&lt;14/24)</formula>
    </cfRule>
    <cfRule type="expression" dxfId="2799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798" priority="114">
      <formula>C$9&gt;=20/24</formula>
    </cfRule>
  </conditionalFormatting>
  <conditionalFormatting sqref="S8">
    <cfRule type="expression" dxfId="2797" priority="101">
      <formula>U$9&gt;=20/24</formula>
    </cfRule>
    <cfRule type="expression" dxfId="2796" priority="102">
      <formula>AND(U$9&gt;=14/24,U$9&lt;20/24)</formula>
    </cfRule>
    <cfRule type="expression" dxfId="2795" priority="103">
      <formula>AND(U$9&gt;=8/24,U$9&lt;14/24)</formula>
    </cfRule>
    <cfRule type="expression" dxfId="2794" priority="104">
      <formula>U$9&lt;8/24</formula>
    </cfRule>
  </conditionalFormatting>
  <conditionalFormatting sqref="S55:AF60">
    <cfRule type="expression" dxfId="2793" priority="10">
      <formula>S$9&gt;=20/24</formula>
    </cfRule>
    <cfRule type="expression" dxfId="2792" priority="11">
      <formula>AND(S$9&gt;=14/24,S$9&lt;20/24)</formula>
    </cfRule>
    <cfRule type="expression" dxfId="2791" priority="12">
      <formula>AND(S$9&gt;=8/24,S$9&lt;14/24)</formula>
    </cfRule>
    <cfRule type="expression" dxfId="2790" priority="13">
      <formula>S$9&lt;8/24</formula>
    </cfRule>
  </conditionalFormatting>
  <conditionalFormatting sqref="T248">
    <cfRule type="expression" dxfId="2789" priority="126">
      <formula>AX$9&gt;=20/24</formula>
    </cfRule>
    <cfRule type="expression" dxfId="2788" priority="127">
      <formula>AND(AX$9&gt;=14/24,AX$9&lt;20/24)</formula>
    </cfRule>
    <cfRule type="expression" dxfId="2787" priority="128">
      <formula>AND(AX$9&gt;=8/24,AX$9&lt;14/24)</formula>
    </cfRule>
    <cfRule type="expression" dxfId="2786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785" priority="97">
      <formula>AD$9&gt;=20/24</formula>
    </cfRule>
    <cfRule type="expression" dxfId="2784" priority="98">
      <formula>AND(AD$9&gt;=14/24,AD$9&lt;20/24)</formula>
    </cfRule>
    <cfRule type="expression" dxfId="2783" priority="99">
      <formula>AND(AD$9&gt;=8/24,AD$9&lt;14/24)</formula>
    </cfRule>
    <cfRule type="expression" dxfId="2782" priority="100">
      <formula>AD$9&lt;8/24</formula>
    </cfRule>
  </conditionalFormatting>
  <conditionalFormatting sqref="AE61:AF66">
    <cfRule type="expression" dxfId="2781" priority="6">
      <formula>AE$9&gt;=20/24</formula>
    </cfRule>
    <cfRule type="expression" dxfId="2780" priority="7">
      <formula>AND(AE$9&gt;=14/24,AE$9&lt;20/24)</formula>
    </cfRule>
    <cfRule type="expression" dxfId="2779" priority="8">
      <formula>AND(AE$9&gt;=8/24,AE$9&lt;14/24)</formula>
    </cfRule>
    <cfRule type="expression" dxfId="2778" priority="9">
      <formula>AE$9&lt;8/24</formula>
    </cfRule>
  </conditionalFormatting>
  <conditionalFormatting sqref="AG50">
    <cfRule type="expression" dxfId="2777" priority="84">
      <formula>AG50&gt;$AG50</formula>
    </cfRule>
  </conditionalFormatting>
  <conditionalFormatting sqref="AG89">
    <cfRule type="expression" dxfId="2776" priority="85">
      <formula>AG$9&gt;=20/24</formula>
    </cfRule>
    <cfRule type="expression" dxfId="2775" priority="86">
      <formula>AND(AG$9&gt;=14/24,AG$9&lt;20/24)</formula>
    </cfRule>
    <cfRule type="expression" dxfId="2774" priority="87">
      <formula>AND(AG$9&gt;=8/24,AG$9&lt;14/24)</formula>
    </cfRule>
    <cfRule type="expression" dxfId="2773" priority="88">
      <formula>AG$9&lt;8/24</formula>
    </cfRule>
  </conditionalFormatting>
  <conditionalFormatting sqref="AG248">
    <cfRule type="expression" dxfId="2772" priority="118">
      <formula>B$9&gt;=20/24</formula>
    </cfRule>
    <cfRule type="expression" dxfId="2771" priority="119">
      <formula>AND(B$9&gt;=14/24,B$9&lt;20/24)</formula>
    </cfRule>
    <cfRule type="expression" dxfId="2770" priority="120">
      <formula>AND(B$9&gt;=8/24,B$9&lt;14/24)</formula>
    </cfRule>
    <cfRule type="expression" dxfId="2769" priority="121">
      <formula>B$9&lt;8/24</formula>
    </cfRule>
  </conditionalFormatting>
  <conditionalFormatting sqref="AH248:AX248">
    <cfRule type="expression" dxfId="2768" priority="122">
      <formula>AG$9&gt;=20/24</formula>
    </cfRule>
    <cfRule type="expression" dxfId="2767" priority="123">
      <formula>AND(AG$9&gt;=14/24,AG$9&lt;20/24)</formula>
    </cfRule>
    <cfRule type="expression" dxfId="2766" priority="124">
      <formula>AND(AG$9&gt;=8/24,AG$9&lt;14/24)</formula>
    </cfRule>
    <cfRule type="expression" dxfId="2765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764" priority="131">
      <formula>AJ$9&gt;=20/24</formula>
    </cfRule>
    <cfRule type="expression" dxfId="2763" priority="132">
      <formula>AND(AJ$9&gt;=14/24,AJ$9&lt;20/24)</formula>
    </cfRule>
    <cfRule type="expression" dxfId="2762" priority="133">
      <formula>AND(AJ$9&gt;=8/24,AJ$9&lt;14/24)</formula>
    </cfRule>
    <cfRule type="expression" dxfId="2761" priority="134">
      <formula>AJ$9&lt;8/24</formula>
    </cfRule>
  </conditionalFormatting>
  <conditionalFormatting sqref="AL80:AN80 AL86:AN86">
    <cfRule type="expression" dxfId="2760" priority="72">
      <formula>AL$9&gt;=20/24</formula>
    </cfRule>
    <cfRule type="expression" dxfId="2759" priority="73">
      <formula>AND(AL$9&gt;=14/24,AL$9&lt;20/24)</formula>
    </cfRule>
    <cfRule type="expression" dxfId="2758" priority="74">
      <formula>AND(AL$9&gt;=8/24,AL$9&lt;14/24)</formula>
    </cfRule>
    <cfRule type="expression" dxfId="2757" priority="75">
      <formula>AL$9&lt;8/24</formula>
    </cfRule>
  </conditionalFormatting>
  <conditionalFormatting sqref="AN81:AN84">
    <cfRule type="expression" dxfId="2756" priority="68">
      <formula>AN$9&gt;=20/24</formula>
    </cfRule>
    <cfRule type="expression" dxfId="2755" priority="69">
      <formula>AND(AN$9&gt;=14/24,AN$9&lt;20/24)</formula>
    </cfRule>
    <cfRule type="expression" dxfId="2754" priority="70">
      <formula>AND(AN$9&gt;=8/24,AN$9&lt;14/24)</formula>
    </cfRule>
    <cfRule type="expression" dxfId="2753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FDD25-043A-4496-9932-F62089694B34}">
  <sheetPr codeName="Sheet32"/>
  <dimension ref="A1:CJ281"/>
  <sheetViews>
    <sheetView workbookViewId="0">
      <pane xSplit="1" ySplit="10" topLeftCell="B34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K59" sqref="K5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2080/05/10</v>
      </c>
      <c r="C4" s="201"/>
      <c r="D4" s="201"/>
      <c r="E4" s="202" t="str">
        <f ca="1">"2080/"&amp;"05/"&amp;INT(MID(CELL("filename",G6),FIND("]",CELL("filename",G6))+1,200))</f>
        <v>2080/05/10</v>
      </c>
      <c r="F4" s="202"/>
      <c r="G4" s="202"/>
      <c r="H4" s="202" t="str">
        <f ca="1">TEXT(E4,"dddd")</f>
        <v>Friday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35</v>
      </c>
      <c r="AC5" s="30">
        <f t="shared" si="0"/>
        <v>20</v>
      </c>
      <c r="AD5" s="30">
        <f t="shared" si="0"/>
        <v>5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2196MW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2064.06</v>
      </c>
      <c r="C7" s="35">
        <f t="shared" si="1"/>
        <v>2064.06</v>
      </c>
      <c r="D7" s="35">
        <f t="shared" si="1"/>
        <v>2064.06</v>
      </c>
      <c r="E7" s="35">
        <f t="shared" si="1"/>
        <v>2064.06</v>
      </c>
      <c r="F7" s="35">
        <f t="shared" si="1"/>
        <v>2064.06</v>
      </c>
      <c r="G7" s="35">
        <f t="shared" si="1"/>
        <v>2064.06</v>
      </c>
      <c r="H7" s="35">
        <f t="shared" si="1"/>
        <v>2064.06</v>
      </c>
      <c r="I7" s="35">
        <f t="shared" si="1"/>
        <v>2069.06</v>
      </c>
      <c r="J7" s="35">
        <f t="shared" si="1"/>
        <v>2069.06</v>
      </c>
      <c r="K7" s="35">
        <f t="shared" si="1"/>
        <v>2071.06</v>
      </c>
      <c r="L7" s="35">
        <f t="shared" si="1"/>
        <v>2128.06</v>
      </c>
      <c r="M7" s="35">
        <f t="shared" si="1"/>
        <v>2195.56</v>
      </c>
      <c r="N7" s="35">
        <f>N91</f>
        <v>2178.06</v>
      </c>
      <c r="O7" s="35">
        <f t="shared" si="1"/>
        <v>2204.66</v>
      </c>
      <c r="P7" s="35">
        <f t="shared" si="1"/>
        <v>2171.56</v>
      </c>
      <c r="Q7" s="35">
        <f t="shared" si="1"/>
        <v>2166.7599999999998</v>
      </c>
      <c r="R7" s="35">
        <f t="shared" si="1"/>
        <v>2175.7599999999998</v>
      </c>
      <c r="S7" s="35">
        <f t="shared" si="1"/>
        <v>2169.7599999999998</v>
      </c>
      <c r="T7" s="35">
        <f t="shared" si="1"/>
        <v>2189.3599999999997</v>
      </c>
      <c r="U7" s="35">
        <f t="shared" si="1"/>
        <v>2183.3599999999997</v>
      </c>
      <c r="V7" s="35">
        <f t="shared" si="1"/>
        <v>2201.56</v>
      </c>
      <c r="W7" s="35">
        <f t="shared" si="1"/>
        <v>2216.3599999999997</v>
      </c>
      <c r="X7" s="35">
        <f t="shared" si="1"/>
        <v>2213.2599999999998</v>
      </c>
      <c r="Y7" s="35">
        <f t="shared" si="1"/>
        <v>2270.66</v>
      </c>
      <c r="Z7" s="35">
        <f t="shared" si="1"/>
        <v>2273.2599999999998</v>
      </c>
      <c r="AA7" s="35">
        <f t="shared" si="1"/>
        <v>2172.0599999999995</v>
      </c>
      <c r="AB7" s="35">
        <f t="shared" si="1"/>
        <v>3.54</v>
      </c>
      <c r="AC7" s="35">
        <f t="shared" si="1"/>
        <v>2251.94</v>
      </c>
      <c r="AD7" s="35">
        <f t="shared" si="1"/>
        <v>2174.64</v>
      </c>
      <c r="AE7" s="35">
        <f t="shared" si="1"/>
        <v>2138.34</v>
      </c>
      <c r="AF7" s="35">
        <f t="shared" si="1"/>
        <v>2133.84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</v>
      </c>
      <c r="N11" s="45">
        <v>90</v>
      </c>
      <c r="O11" s="45">
        <v>90</v>
      </c>
      <c r="P11" s="45">
        <v>90</v>
      </c>
      <c r="Q11" s="45">
        <v>90</v>
      </c>
      <c r="R11" s="45">
        <v>90</v>
      </c>
      <c r="S11" s="45">
        <v>90</v>
      </c>
      <c r="T11" s="45">
        <v>90</v>
      </c>
      <c r="U11" s="45">
        <v>90</v>
      </c>
      <c r="V11" s="45">
        <v>90</v>
      </c>
      <c r="W11" s="45">
        <v>90</v>
      </c>
      <c r="X11" s="45">
        <v>90</v>
      </c>
      <c r="Y11" s="45">
        <v>90</v>
      </c>
      <c r="Z11" s="45">
        <v>90</v>
      </c>
      <c r="AA11" s="45">
        <v>90</v>
      </c>
      <c r="AB11" s="45"/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/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13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>
        <v>54.3</v>
      </c>
      <c r="G13" s="45">
        <v>54.3</v>
      </c>
      <c r="H13" s="45">
        <v>54.3</v>
      </c>
      <c r="I13" s="45">
        <v>54.3</v>
      </c>
      <c r="J13" s="45">
        <v>54.3</v>
      </c>
      <c r="K13" s="45">
        <v>54.3</v>
      </c>
      <c r="L13" s="45">
        <v>54.3</v>
      </c>
      <c r="M13" s="45">
        <v>54.3</v>
      </c>
      <c r="N13" s="45">
        <v>54.3</v>
      </c>
      <c r="O13" s="45">
        <v>54.3</v>
      </c>
      <c r="P13" s="45">
        <v>54.3</v>
      </c>
      <c r="Q13" s="45">
        <v>54.3</v>
      </c>
      <c r="R13" s="45">
        <v>54.3</v>
      </c>
      <c r="S13" s="45">
        <v>54.4</v>
      </c>
      <c r="T13" s="45">
        <v>54.4</v>
      </c>
      <c r="U13" s="45">
        <v>54.4</v>
      </c>
      <c r="V13" s="45">
        <v>54.4</v>
      </c>
      <c r="W13" s="45">
        <v>54.4</v>
      </c>
      <c r="X13" s="45">
        <v>54.4</v>
      </c>
      <c r="Y13" s="45">
        <v>54.4</v>
      </c>
      <c r="Z13" s="45">
        <v>54.4</v>
      </c>
      <c r="AA13" s="45">
        <v>54.4</v>
      </c>
      <c r="AB13" s="45"/>
      <c r="AC13" s="45">
        <v>54.4</v>
      </c>
      <c r="AD13" s="45">
        <v>54.4</v>
      </c>
      <c r="AE13" s="45">
        <v>54.4</v>
      </c>
      <c r="AF13" s="45">
        <v>54.4</v>
      </c>
      <c r="AG13" s="46">
        <v>52.4</v>
      </c>
      <c r="AH13" s="47">
        <f t="shared" si="2"/>
        <v>54.4</v>
      </c>
      <c r="AI13" s="48">
        <f t="shared" si="3"/>
        <v>54.3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50.5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58">
        <v>50.5</v>
      </c>
      <c r="AB14" s="45"/>
      <c r="AC14" s="45">
        <v>50.3</v>
      </c>
      <c r="AD14" s="45">
        <v>50.3</v>
      </c>
      <c r="AE14" s="45">
        <v>50.3</v>
      </c>
      <c r="AF14" s="45">
        <v>50.5</v>
      </c>
      <c r="AG14" s="49">
        <v>50</v>
      </c>
      <c r="AH14" s="47">
        <f t="shared" si="2"/>
        <v>50.5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</v>
      </c>
      <c r="C15" s="45">
        <v>46</v>
      </c>
      <c r="D15" s="45">
        <v>46</v>
      </c>
      <c r="E15" s="45">
        <v>46</v>
      </c>
      <c r="F15" s="45">
        <v>46</v>
      </c>
      <c r="G15" s="45">
        <v>46</v>
      </c>
      <c r="H15" s="45">
        <v>46</v>
      </c>
      <c r="I15" s="45">
        <v>46</v>
      </c>
      <c r="J15" s="45">
        <v>46</v>
      </c>
      <c r="K15" s="45">
        <v>46</v>
      </c>
      <c r="L15" s="45">
        <v>46</v>
      </c>
      <c r="M15" s="45">
        <v>46</v>
      </c>
      <c r="N15" s="45">
        <v>46</v>
      </c>
      <c r="O15" s="45">
        <v>46</v>
      </c>
      <c r="P15" s="45">
        <v>46</v>
      </c>
      <c r="Q15" s="45">
        <v>46</v>
      </c>
      <c r="R15" s="45">
        <v>46</v>
      </c>
      <c r="S15" s="45">
        <v>46</v>
      </c>
      <c r="T15" s="45">
        <v>46</v>
      </c>
      <c r="U15" s="45">
        <v>46</v>
      </c>
      <c r="V15" s="45">
        <v>46</v>
      </c>
      <c r="W15" s="45">
        <v>46</v>
      </c>
      <c r="X15" s="45">
        <v>46</v>
      </c>
      <c r="Y15" s="45">
        <v>46</v>
      </c>
      <c r="Z15" s="45">
        <v>46</v>
      </c>
      <c r="AA15" s="45">
        <v>46</v>
      </c>
      <c r="AB15" s="45"/>
      <c r="AC15" s="45">
        <v>46.2</v>
      </c>
      <c r="AD15" s="45">
        <v>46.2</v>
      </c>
      <c r="AE15" s="45">
        <v>46.2</v>
      </c>
      <c r="AF15" s="45">
        <v>46.3</v>
      </c>
      <c r="AG15" s="49">
        <v>45</v>
      </c>
      <c r="AH15" s="47">
        <f t="shared" si="2"/>
        <v>46.3</v>
      </c>
      <c r="AI15" s="48">
        <f t="shared" si="3"/>
        <v>46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/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28.4</v>
      </c>
      <c r="C17" s="45">
        <v>28.4</v>
      </c>
      <c r="D17" s="45">
        <v>28.4</v>
      </c>
      <c r="E17" s="45">
        <v>28.4</v>
      </c>
      <c r="F17" s="45">
        <v>28.4</v>
      </c>
      <c r="G17" s="45">
        <v>28.4</v>
      </c>
      <c r="H17" s="45">
        <v>28.4</v>
      </c>
      <c r="I17" s="45">
        <v>28.4</v>
      </c>
      <c r="J17" s="45">
        <v>28.4</v>
      </c>
      <c r="K17" s="45">
        <v>28.4</v>
      </c>
      <c r="L17" s="45">
        <v>28.4</v>
      </c>
      <c r="M17" s="45">
        <v>28.4</v>
      </c>
      <c r="N17" s="45">
        <v>28.4</v>
      </c>
      <c r="O17" s="45">
        <v>28.4</v>
      </c>
      <c r="P17" s="45">
        <v>28.4</v>
      </c>
      <c r="Q17" s="45">
        <v>28.4</v>
      </c>
      <c r="R17" s="45">
        <v>28.4</v>
      </c>
      <c r="S17" s="45">
        <v>28.9</v>
      </c>
      <c r="T17" s="45">
        <v>28.9</v>
      </c>
      <c r="U17" s="45">
        <v>28.9</v>
      </c>
      <c r="V17" s="45">
        <v>28.9</v>
      </c>
      <c r="W17" s="45">
        <v>28.9</v>
      </c>
      <c r="X17" s="45">
        <v>28.9</v>
      </c>
      <c r="Y17" s="45">
        <v>28.9</v>
      </c>
      <c r="Z17" s="45">
        <v>31.5</v>
      </c>
      <c r="AA17" s="45">
        <v>31.5</v>
      </c>
      <c r="AB17" s="45"/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31.5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37</v>
      </c>
      <c r="C18" s="45">
        <v>37</v>
      </c>
      <c r="D18" s="45">
        <v>37</v>
      </c>
      <c r="E18" s="45">
        <v>37</v>
      </c>
      <c r="F18" s="45">
        <v>37</v>
      </c>
      <c r="G18" s="45">
        <v>37</v>
      </c>
      <c r="H18" s="45">
        <v>37</v>
      </c>
      <c r="I18" s="45">
        <v>37</v>
      </c>
      <c r="J18" s="45">
        <v>37</v>
      </c>
      <c r="K18" s="45">
        <v>37</v>
      </c>
      <c r="L18" s="45">
        <v>37</v>
      </c>
      <c r="M18" s="45">
        <v>37</v>
      </c>
      <c r="N18" s="45">
        <v>37</v>
      </c>
      <c r="O18" s="45">
        <v>37</v>
      </c>
      <c r="P18" s="45">
        <v>37</v>
      </c>
      <c r="Q18" s="45">
        <v>37</v>
      </c>
      <c r="R18" s="45">
        <v>37</v>
      </c>
      <c r="S18" s="45">
        <v>37</v>
      </c>
      <c r="T18" s="45">
        <v>37</v>
      </c>
      <c r="U18" s="45">
        <v>37</v>
      </c>
      <c r="V18" s="45">
        <v>37</v>
      </c>
      <c r="W18" s="45">
        <v>37</v>
      </c>
      <c r="X18" s="45">
        <v>37</v>
      </c>
      <c r="Y18" s="45">
        <v>37</v>
      </c>
      <c r="Z18" s="45">
        <v>37</v>
      </c>
      <c r="AA18" s="45">
        <v>37</v>
      </c>
      <c r="AB18" s="45"/>
      <c r="AC18" s="45">
        <v>0</v>
      </c>
      <c r="AD18" s="45">
        <v>0</v>
      </c>
      <c r="AE18" s="45">
        <v>37</v>
      </c>
      <c r="AF18" s="45">
        <v>37</v>
      </c>
      <c r="AG18" s="49">
        <v>38.46</v>
      </c>
      <c r="AH18" s="47">
        <f t="shared" si="2"/>
        <v>37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22</v>
      </c>
      <c r="Y19" s="45">
        <v>22</v>
      </c>
      <c r="Z19" s="45">
        <v>22</v>
      </c>
      <c r="AA19" s="45">
        <v>22</v>
      </c>
      <c r="AB19" s="45"/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22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15</v>
      </c>
      <c r="D20" s="45">
        <v>15</v>
      </c>
      <c r="E20" s="45">
        <v>15</v>
      </c>
      <c r="F20" s="45">
        <v>15</v>
      </c>
      <c r="G20" s="45">
        <v>15</v>
      </c>
      <c r="H20" s="45">
        <v>15</v>
      </c>
      <c r="I20" s="45">
        <v>15</v>
      </c>
      <c r="J20" s="45">
        <v>15</v>
      </c>
      <c r="K20" s="45">
        <v>15</v>
      </c>
      <c r="L20" s="45">
        <v>30</v>
      </c>
      <c r="M20" s="45">
        <v>30</v>
      </c>
      <c r="N20" s="45">
        <v>30</v>
      </c>
      <c r="O20" s="45">
        <v>30</v>
      </c>
      <c r="P20" s="45">
        <v>30</v>
      </c>
      <c r="Q20" s="45">
        <v>30</v>
      </c>
      <c r="R20" s="45">
        <v>25</v>
      </c>
      <c r="S20" s="45">
        <v>25</v>
      </c>
      <c r="T20" s="45">
        <v>30</v>
      </c>
      <c r="U20" s="45">
        <v>30</v>
      </c>
      <c r="V20" s="45">
        <v>30</v>
      </c>
      <c r="W20" s="45">
        <v>30</v>
      </c>
      <c r="X20" s="45">
        <v>30</v>
      </c>
      <c r="Y20" s="45">
        <v>30</v>
      </c>
      <c r="Z20" s="45">
        <v>30</v>
      </c>
      <c r="AA20" s="45">
        <v>30</v>
      </c>
      <c r="AB20" s="45"/>
      <c r="AC20" s="45">
        <v>30</v>
      </c>
      <c r="AD20" s="45">
        <v>30</v>
      </c>
      <c r="AE20" s="45">
        <v>24</v>
      </c>
      <c r="AF20" s="45">
        <v>24</v>
      </c>
      <c r="AG20" s="51">
        <v>30</v>
      </c>
      <c r="AH20" s="47">
        <f t="shared" si="2"/>
        <v>30</v>
      </c>
      <c r="AI20" s="48">
        <f t="shared" si="3"/>
        <v>15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21</v>
      </c>
      <c r="C21" s="45">
        <v>21</v>
      </c>
      <c r="D21" s="45">
        <v>21</v>
      </c>
      <c r="E21" s="45">
        <v>21</v>
      </c>
      <c r="F21" s="45">
        <v>21</v>
      </c>
      <c r="G21" s="45">
        <v>21</v>
      </c>
      <c r="H21" s="45">
        <v>21</v>
      </c>
      <c r="I21" s="45">
        <v>21</v>
      </c>
      <c r="J21" s="45">
        <v>21</v>
      </c>
      <c r="K21" s="45">
        <v>21</v>
      </c>
      <c r="L21" s="45">
        <v>21</v>
      </c>
      <c r="M21" s="45">
        <v>33</v>
      </c>
      <c r="N21" s="45">
        <v>33</v>
      </c>
      <c r="O21" s="45">
        <v>33</v>
      </c>
      <c r="P21" s="45">
        <v>33</v>
      </c>
      <c r="Q21" s="45">
        <v>33</v>
      </c>
      <c r="R21" s="45">
        <v>33</v>
      </c>
      <c r="S21" s="45">
        <v>33</v>
      </c>
      <c r="T21" s="45">
        <v>33</v>
      </c>
      <c r="U21" s="45">
        <v>33</v>
      </c>
      <c r="V21" s="45">
        <v>33</v>
      </c>
      <c r="W21" s="45">
        <v>33</v>
      </c>
      <c r="X21" s="45">
        <v>33</v>
      </c>
      <c r="Y21" s="45">
        <v>33</v>
      </c>
      <c r="Z21" s="45">
        <v>33</v>
      </c>
      <c r="AA21" s="45">
        <v>33</v>
      </c>
      <c r="AB21" s="45"/>
      <c r="AC21" s="45">
        <v>33</v>
      </c>
      <c r="AD21" s="45">
        <v>33</v>
      </c>
      <c r="AE21" s="45">
        <v>33</v>
      </c>
      <c r="AF21" s="45">
        <v>33</v>
      </c>
      <c r="AG21" s="49">
        <v>24.2</v>
      </c>
      <c r="AH21" s="47">
        <f t="shared" si="2"/>
        <v>33</v>
      </c>
      <c r="AI21" s="48">
        <f t="shared" si="3"/>
        <v>21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20.5</v>
      </c>
      <c r="C22" s="45">
        <v>20.5</v>
      </c>
      <c r="D22" s="45">
        <v>20.5</v>
      </c>
      <c r="E22" s="45">
        <v>20.5</v>
      </c>
      <c r="F22" s="45">
        <v>20.5</v>
      </c>
      <c r="G22" s="45">
        <v>20.5</v>
      </c>
      <c r="H22" s="45">
        <v>20.5</v>
      </c>
      <c r="I22" s="45">
        <v>20.5</v>
      </c>
      <c r="J22" s="45">
        <v>20.5</v>
      </c>
      <c r="K22" s="45">
        <v>20.5</v>
      </c>
      <c r="L22" s="45">
        <v>20.5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/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20.5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5</v>
      </c>
      <c r="C23" s="45">
        <v>5</v>
      </c>
      <c r="D23" s="45">
        <v>5</v>
      </c>
      <c r="E23" s="45">
        <v>5</v>
      </c>
      <c r="F23" s="45">
        <v>5</v>
      </c>
      <c r="G23" s="45">
        <v>5</v>
      </c>
      <c r="H23" s="45">
        <v>5</v>
      </c>
      <c r="I23" s="45">
        <v>5</v>
      </c>
      <c r="J23" s="45">
        <v>5</v>
      </c>
      <c r="K23" s="45">
        <v>5</v>
      </c>
      <c r="L23" s="45">
        <v>27</v>
      </c>
      <c r="M23" s="45">
        <v>27</v>
      </c>
      <c r="N23" s="45">
        <v>19</v>
      </c>
      <c r="O23" s="45">
        <v>19</v>
      </c>
      <c r="P23" s="45">
        <v>19</v>
      </c>
      <c r="Q23" s="45">
        <v>19</v>
      </c>
      <c r="R23" s="45">
        <v>27</v>
      </c>
      <c r="S23" s="45">
        <v>27</v>
      </c>
      <c r="T23" s="45">
        <v>27</v>
      </c>
      <c r="U23" s="45">
        <v>27</v>
      </c>
      <c r="V23" s="45">
        <v>27</v>
      </c>
      <c r="W23" s="45">
        <v>27</v>
      </c>
      <c r="X23" s="45">
        <v>27</v>
      </c>
      <c r="Y23" s="45">
        <v>27</v>
      </c>
      <c r="Z23" s="45">
        <v>27</v>
      </c>
      <c r="AA23" s="45">
        <v>27</v>
      </c>
      <c r="AB23" s="45"/>
      <c r="AC23" s="45">
        <v>27</v>
      </c>
      <c r="AD23" s="45">
        <v>27</v>
      </c>
      <c r="AE23" s="45">
        <f>27*0.8</f>
        <v>21.6</v>
      </c>
      <c r="AF23" s="45">
        <f>27*0.8</f>
        <v>21.6</v>
      </c>
      <c r="AG23" s="51">
        <v>30</v>
      </c>
      <c r="AH23" s="47">
        <f t="shared" si="2"/>
        <v>27</v>
      </c>
      <c r="AI23" s="48">
        <f t="shared" si="3"/>
        <v>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21</v>
      </c>
      <c r="C24" s="45">
        <v>21</v>
      </c>
      <c r="D24" s="45">
        <v>21</v>
      </c>
      <c r="E24" s="45">
        <v>21</v>
      </c>
      <c r="F24" s="45">
        <v>21</v>
      </c>
      <c r="G24" s="45">
        <v>21</v>
      </c>
      <c r="H24" s="45">
        <v>21</v>
      </c>
      <c r="I24" s="45">
        <v>21</v>
      </c>
      <c r="J24" s="45">
        <v>21</v>
      </c>
      <c r="K24" s="45">
        <v>21</v>
      </c>
      <c r="L24" s="45">
        <v>21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/>
      <c r="AC24" s="45">
        <v>25.6</v>
      </c>
      <c r="AD24" s="45">
        <v>25.6</v>
      </c>
      <c r="AE24" s="45">
        <v>25.6</v>
      </c>
      <c r="AF24" s="45">
        <v>25.6</v>
      </c>
      <c r="AG24" s="49">
        <v>25</v>
      </c>
      <c r="AH24" s="47">
        <f t="shared" si="2"/>
        <v>25.6</v>
      </c>
      <c r="AI24" s="48">
        <f t="shared" si="3"/>
        <v>21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/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/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5</v>
      </c>
      <c r="E27" s="45">
        <v>5</v>
      </c>
      <c r="F27" s="45">
        <v>5</v>
      </c>
      <c r="G27" s="45">
        <v>5</v>
      </c>
      <c r="H27" s="45">
        <v>5</v>
      </c>
      <c r="I27" s="45">
        <v>5</v>
      </c>
      <c r="J27" s="45">
        <v>5</v>
      </c>
      <c r="K27" s="45">
        <v>5</v>
      </c>
      <c r="L27" s="45">
        <v>25</v>
      </c>
      <c r="M27" s="45">
        <v>25</v>
      </c>
      <c r="N27" s="45">
        <v>25</v>
      </c>
      <c r="O27" s="45">
        <v>25</v>
      </c>
      <c r="P27" s="45">
        <v>25</v>
      </c>
      <c r="Q27" s="45">
        <v>25</v>
      </c>
      <c r="R27" s="45">
        <v>18</v>
      </c>
      <c r="S27" s="45">
        <v>18</v>
      </c>
      <c r="T27" s="45">
        <v>25</v>
      </c>
      <c r="U27" s="45">
        <v>25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25</v>
      </c>
      <c r="AB27" s="45"/>
      <c r="AC27" s="45">
        <v>25</v>
      </c>
      <c r="AD27" s="45">
        <v>25</v>
      </c>
      <c r="AE27" s="45">
        <v>20</v>
      </c>
      <c r="AF27" s="45">
        <v>20</v>
      </c>
      <c r="AG27" s="49">
        <v>25</v>
      </c>
      <c r="AH27" s="47">
        <f t="shared" si="2"/>
        <v>25</v>
      </c>
      <c r="AI27" s="48">
        <f t="shared" si="3"/>
        <v>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/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24.8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/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/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/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/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s="37" customFormat="1" x14ac:dyDescent="0.25">
      <c r="A33" s="57" t="s">
        <v>41</v>
      </c>
      <c r="B33" s="178">
        <v>5</v>
      </c>
      <c r="C33" s="178">
        <v>5</v>
      </c>
      <c r="D33" s="178">
        <v>5</v>
      </c>
      <c r="E33" s="178">
        <v>5</v>
      </c>
      <c r="F33" s="178">
        <v>5</v>
      </c>
      <c r="G33" s="178">
        <v>5</v>
      </c>
      <c r="H33" s="178">
        <v>5</v>
      </c>
      <c r="I33" s="178">
        <v>5</v>
      </c>
      <c r="J33" s="178">
        <v>5</v>
      </c>
      <c r="K33" s="178">
        <v>7</v>
      </c>
      <c r="L33" s="178">
        <v>7</v>
      </c>
      <c r="M33" s="178">
        <v>7</v>
      </c>
      <c r="N33" s="178">
        <v>7</v>
      </c>
      <c r="O33" s="178">
        <v>5</v>
      </c>
      <c r="P33" s="178">
        <v>5</v>
      </c>
      <c r="Q33" s="178">
        <v>5</v>
      </c>
      <c r="R33" s="178">
        <v>5</v>
      </c>
      <c r="S33" s="178">
        <v>5</v>
      </c>
      <c r="T33" s="178">
        <v>5</v>
      </c>
      <c r="U33" s="178">
        <v>5</v>
      </c>
      <c r="V33" s="178">
        <v>5</v>
      </c>
      <c r="W33" s="178">
        <v>5</v>
      </c>
      <c r="X33" s="178">
        <v>5</v>
      </c>
      <c r="Y33" s="178">
        <v>10</v>
      </c>
      <c r="Z33" s="178">
        <v>10</v>
      </c>
      <c r="AA33" s="178">
        <v>10</v>
      </c>
      <c r="AB33" s="178"/>
      <c r="AC33" s="178">
        <v>10</v>
      </c>
      <c r="AD33" s="178">
        <v>10</v>
      </c>
      <c r="AE33" s="178">
        <v>10</v>
      </c>
      <c r="AF33" s="178">
        <v>10</v>
      </c>
      <c r="AG33" s="179">
        <v>20</v>
      </c>
      <c r="AH33" s="180">
        <f t="shared" si="2"/>
        <v>10</v>
      </c>
      <c r="AI33" s="181">
        <f t="shared" si="3"/>
        <v>5</v>
      </c>
      <c r="AK33" s="182"/>
      <c r="AL33" s="183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s="37" customFormat="1" x14ac:dyDescent="0.25">
      <c r="A34" s="57" t="s">
        <v>42</v>
      </c>
      <c r="B34" s="178">
        <v>0</v>
      </c>
      <c r="C34" s="178">
        <v>0</v>
      </c>
      <c r="D34" s="178">
        <v>0</v>
      </c>
      <c r="E34" s="178">
        <v>0</v>
      </c>
      <c r="F34" s="178">
        <v>0</v>
      </c>
      <c r="G34" s="178">
        <v>0</v>
      </c>
      <c r="H34" s="178">
        <v>0</v>
      </c>
      <c r="I34" s="178">
        <v>5</v>
      </c>
      <c r="J34" s="178">
        <v>5</v>
      </c>
      <c r="K34" s="178">
        <v>5</v>
      </c>
      <c r="L34" s="178">
        <v>5</v>
      </c>
      <c r="M34" s="178">
        <v>5</v>
      </c>
      <c r="N34" s="178">
        <v>5</v>
      </c>
      <c r="O34" s="178">
        <v>5</v>
      </c>
      <c r="P34" s="178">
        <v>5</v>
      </c>
      <c r="Q34" s="178">
        <v>5</v>
      </c>
      <c r="R34" s="178">
        <v>5</v>
      </c>
      <c r="S34" s="178">
        <v>4</v>
      </c>
      <c r="T34" s="178">
        <v>4</v>
      </c>
      <c r="U34" s="178">
        <v>4</v>
      </c>
      <c r="V34" s="178">
        <v>4</v>
      </c>
      <c r="W34" s="178">
        <v>4</v>
      </c>
      <c r="X34" s="178">
        <v>0</v>
      </c>
      <c r="Y34" s="178">
        <v>0</v>
      </c>
      <c r="Z34" s="178">
        <v>0</v>
      </c>
      <c r="AA34" s="178">
        <v>0</v>
      </c>
      <c r="AB34" s="178"/>
      <c r="AC34" s="178">
        <v>0</v>
      </c>
      <c r="AD34" s="178">
        <v>0</v>
      </c>
      <c r="AE34" s="178">
        <v>0</v>
      </c>
      <c r="AF34" s="178">
        <v>0</v>
      </c>
      <c r="AG34" s="179">
        <v>18</v>
      </c>
      <c r="AH34" s="180">
        <f t="shared" si="2"/>
        <v>5</v>
      </c>
      <c r="AI34" s="181">
        <f t="shared" si="3"/>
        <v>0</v>
      </c>
      <c r="AK34" s="182"/>
      <c r="AL34" s="183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15.3</v>
      </c>
      <c r="C35" s="45">
        <v>15.3</v>
      </c>
      <c r="D35" s="45">
        <v>15.3</v>
      </c>
      <c r="E35" s="45">
        <v>15.3</v>
      </c>
      <c r="F35" s="45">
        <v>15.3</v>
      </c>
      <c r="G35" s="45">
        <v>15.3</v>
      </c>
      <c r="H35" s="45">
        <v>15.3</v>
      </c>
      <c r="I35" s="45">
        <v>15.3</v>
      </c>
      <c r="J35" s="45">
        <v>15.3</v>
      </c>
      <c r="K35" s="45">
        <v>15.3</v>
      </c>
      <c r="L35" s="45">
        <v>15.3</v>
      </c>
      <c r="M35" s="45">
        <v>15.3</v>
      </c>
      <c r="N35" s="45">
        <v>15.3</v>
      </c>
      <c r="O35" s="45">
        <v>15.3</v>
      </c>
      <c r="P35" s="45">
        <v>15.3</v>
      </c>
      <c r="Q35" s="45">
        <v>15.3</v>
      </c>
      <c r="R35" s="45">
        <v>15.3</v>
      </c>
      <c r="S35" s="45">
        <v>15.3</v>
      </c>
      <c r="T35" s="45">
        <v>15.3</v>
      </c>
      <c r="U35" s="45">
        <v>15.3</v>
      </c>
      <c r="V35" s="45">
        <v>15.3</v>
      </c>
      <c r="W35" s="45">
        <v>15.3</v>
      </c>
      <c r="X35" s="45">
        <v>15.3</v>
      </c>
      <c r="Y35" s="45">
        <v>15.3</v>
      </c>
      <c r="Z35" s="45">
        <v>15.3</v>
      </c>
      <c r="AA35" s="45">
        <v>15.3</v>
      </c>
      <c r="AB35" s="45"/>
      <c r="AC35" s="45">
        <v>0</v>
      </c>
      <c r="AD35" s="45">
        <v>0</v>
      </c>
      <c r="AE35" s="45">
        <v>0</v>
      </c>
      <c r="AF35" s="45">
        <v>0</v>
      </c>
      <c r="AG35" s="49">
        <v>14.9</v>
      </c>
      <c r="AH35" s="47">
        <f t="shared" si="2"/>
        <v>15.3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/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/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/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>
        <v>3</v>
      </c>
      <c r="I39" s="45">
        <v>3</v>
      </c>
      <c r="J39" s="45">
        <v>3</v>
      </c>
      <c r="K39" s="45">
        <v>3</v>
      </c>
      <c r="L39" s="45">
        <v>3</v>
      </c>
      <c r="M39" s="45">
        <v>3</v>
      </c>
      <c r="N39" s="45">
        <v>3</v>
      </c>
      <c r="O39" s="45">
        <v>3</v>
      </c>
      <c r="P39" s="45">
        <v>3</v>
      </c>
      <c r="Q39" s="45">
        <v>3</v>
      </c>
      <c r="R39" s="45">
        <v>3</v>
      </c>
      <c r="S39" s="45">
        <v>3</v>
      </c>
      <c r="T39" s="45">
        <v>12</v>
      </c>
      <c r="U39" s="45">
        <v>12</v>
      </c>
      <c r="V39" s="45">
        <v>12</v>
      </c>
      <c r="W39" s="45">
        <v>12</v>
      </c>
      <c r="X39" s="45">
        <v>12</v>
      </c>
      <c r="Y39" s="45">
        <v>12</v>
      </c>
      <c r="Z39" s="45">
        <v>12</v>
      </c>
      <c r="AA39" s="45">
        <v>12</v>
      </c>
      <c r="AB39" s="45"/>
      <c r="AC39" s="45">
        <v>12</v>
      </c>
      <c r="AD39" s="45">
        <v>12</v>
      </c>
      <c r="AE39" s="45">
        <v>9.6</v>
      </c>
      <c r="AF39" s="45">
        <v>9.6</v>
      </c>
      <c r="AG39" s="49">
        <v>12</v>
      </c>
      <c r="AH39" s="47">
        <f t="shared" si="2"/>
        <v>12</v>
      </c>
      <c r="AI39" s="48">
        <f t="shared" si="3"/>
        <v>3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9.3000000000000007</v>
      </c>
      <c r="C40" s="45">
        <v>9.3000000000000007</v>
      </c>
      <c r="D40" s="45">
        <v>9.3000000000000007</v>
      </c>
      <c r="E40" s="45">
        <v>9.3000000000000007</v>
      </c>
      <c r="F40" s="45">
        <v>9.3000000000000007</v>
      </c>
      <c r="G40" s="45">
        <v>9.3000000000000007</v>
      </c>
      <c r="H40" s="45">
        <v>9.3000000000000007</v>
      </c>
      <c r="I40" s="45">
        <v>9.3000000000000007</v>
      </c>
      <c r="J40" s="45">
        <v>9.3000000000000007</v>
      </c>
      <c r="K40" s="45">
        <v>9.3000000000000007</v>
      </c>
      <c r="L40" s="45">
        <v>9.3000000000000007</v>
      </c>
      <c r="M40" s="45">
        <v>9.3000000000000007</v>
      </c>
      <c r="N40" s="45">
        <v>9.3000000000000007</v>
      </c>
      <c r="O40" s="45">
        <v>9.3000000000000007</v>
      </c>
      <c r="P40" s="45">
        <v>9.3000000000000007</v>
      </c>
      <c r="Q40" s="45">
        <v>9.3000000000000007</v>
      </c>
      <c r="R40" s="45">
        <v>9.3000000000000007</v>
      </c>
      <c r="S40" s="45">
        <v>9.3000000000000007</v>
      </c>
      <c r="T40" s="45">
        <v>9.3000000000000007</v>
      </c>
      <c r="U40" s="45">
        <v>9.3000000000000007</v>
      </c>
      <c r="V40" s="45">
        <v>9.3000000000000007</v>
      </c>
      <c r="W40" s="45">
        <v>9.3000000000000007</v>
      </c>
      <c r="X40" s="45">
        <v>9.3000000000000007</v>
      </c>
      <c r="Y40" s="45">
        <v>9.3000000000000007</v>
      </c>
      <c r="Z40" s="45">
        <v>9.3000000000000007</v>
      </c>
      <c r="AA40" s="45">
        <v>9.3000000000000007</v>
      </c>
      <c r="AB40" s="45"/>
      <c r="AC40" s="45">
        <v>9.3000000000000007</v>
      </c>
      <c r="AD40" s="45">
        <v>9.3000000000000007</v>
      </c>
      <c r="AE40" s="45">
        <v>9.3000000000000007</v>
      </c>
      <c r="AF40" s="45">
        <v>9.3000000000000007</v>
      </c>
      <c r="AG40" s="49">
        <v>12</v>
      </c>
      <c r="AH40" s="47">
        <f t="shared" si="2"/>
        <v>9.3000000000000007</v>
      </c>
      <c r="AI40" s="48">
        <f t="shared" si="3"/>
        <v>9.3000000000000007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5</v>
      </c>
      <c r="C41" s="45">
        <v>5</v>
      </c>
      <c r="D41" s="45">
        <v>5</v>
      </c>
      <c r="E41" s="45">
        <v>5</v>
      </c>
      <c r="F41" s="45">
        <v>5</v>
      </c>
      <c r="G41" s="45">
        <v>5</v>
      </c>
      <c r="H41" s="45">
        <v>5</v>
      </c>
      <c r="I41" s="45">
        <v>5</v>
      </c>
      <c r="J41" s="45">
        <v>5</v>
      </c>
      <c r="K41" s="45">
        <v>5</v>
      </c>
      <c r="L41" s="45">
        <v>5</v>
      </c>
      <c r="M41" s="45">
        <v>5</v>
      </c>
      <c r="N41" s="45">
        <v>5</v>
      </c>
      <c r="O41" s="45">
        <v>5</v>
      </c>
      <c r="P41" s="45">
        <v>5</v>
      </c>
      <c r="Q41" s="45">
        <v>5</v>
      </c>
      <c r="R41" s="45">
        <v>5</v>
      </c>
      <c r="S41" s="45">
        <v>5</v>
      </c>
      <c r="T41" s="45">
        <v>5</v>
      </c>
      <c r="U41" s="45">
        <v>5</v>
      </c>
      <c r="V41" s="45">
        <v>5</v>
      </c>
      <c r="W41" s="45">
        <v>5</v>
      </c>
      <c r="X41" s="45">
        <v>5</v>
      </c>
      <c r="Y41" s="45">
        <v>5</v>
      </c>
      <c r="Z41" s="45">
        <v>5</v>
      </c>
      <c r="AA41" s="45">
        <v>5</v>
      </c>
      <c r="AB41" s="45"/>
      <c r="AC41" s="45">
        <v>5</v>
      </c>
      <c r="AD41" s="45">
        <v>5</v>
      </c>
      <c r="AE41" s="45">
        <v>5</v>
      </c>
      <c r="AF41" s="45">
        <v>5</v>
      </c>
      <c r="AG41" s="49">
        <v>12</v>
      </c>
      <c r="AH41" s="47">
        <f t="shared" si="2"/>
        <v>5</v>
      </c>
      <c r="AI41" s="48">
        <f t="shared" si="3"/>
        <v>5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>
        <v>8</v>
      </c>
      <c r="S42" s="45">
        <v>8</v>
      </c>
      <c r="T42" s="45">
        <v>8</v>
      </c>
      <c r="U42" s="45">
        <v>8</v>
      </c>
      <c r="V42" s="45">
        <v>8</v>
      </c>
      <c r="W42" s="45">
        <v>8</v>
      </c>
      <c r="X42" s="45">
        <v>8</v>
      </c>
      <c r="Y42" s="45">
        <v>8</v>
      </c>
      <c r="Z42" s="45">
        <v>8</v>
      </c>
      <c r="AA42" s="45">
        <v>8</v>
      </c>
      <c r="AB42" s="45"/>
      <c r="AC42" s="45">
        <v>8</v>
      </c>
      <c r="AD42" s="45">
        <v>8</v>
      </c>
      <c r="AE42" s="45">
        <v>8</v>
      </c>
      <c r="AF42" s="45">
        <v>8</v>
      </c>
      <c r="AG42" s="52">
        <v>22</v>
      </c>
      <c r="AH42" s="47">
        <f t="shared" si="2"/>
        <v>8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/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/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8.8000000000000007</v>
      </c>
      <c r="C45" s="45">
        <v>8.8000000000000007</v>
      </c>
      <c r="D45" s="45">
        <v>8.8000000000000007</v>
      </c>
      <c r="E45" s="45">
        <v>8.8000000000000007</v>
      </c>
      <c r="F45" s="45">
        <v>8.8000000000000007</v>
      </c>
      <c r="G45" s="45">
        <v>8.8000000000000007</v>
      </c>
      <c r="H45" s="45">
        <v>8.8000000000000007</v>
      </c>
      <c r="I45" s="45">
        <v>8.8000000000000007</v>
      </c>
      <c r="J45" s="45">
        <v>8.8000000000000007</v>
      </c>
      <c r="K45" s="45">
        <v>8.8000000000000007</v>
      </c>
      <c r="L45" s="45">
        <v>8.8000000000000007</v>
      </c>
      <c r="M45" s="45">
        <v>8.8000000000000007</v>
      </c>
      <c r="N45" s="45">
        <v>8.8000000000000007</v>
      </c>
      <c r="O45" s="45">
        <v>8.8000000000000007</v>
      </c>
      <c r="P45" s="45">
        <v>8.8000000000000007</v>
      </c>
      <c r="Q45" s="45">
        <v>8.8000000000000007</v>
      </c>
      <c r="R45" s="45">
        <v>8.8000000000000007</v>
      </c>
      <c r="S45" s="45">
        <v>8.8000000000000007</v>
      </c>
      <c r="T45" s="45">
        <v>8.8000000000000007</v>
      </c>
      <c r="U45" s="45">
        <v>8.8000000000000007</v>
      </c>
      <c r="V45" s="45">
        <v>8.8000000000000007</v>
      </c>
      <c r="W45" s="45">
        <v>8.8000000000000007</v>
      </c>
      <c r="X45" s="45">
        <v>8.8000000000000007</v>
      </c>
      <c r="Y45" s="45">
        <v>8.8000000000000007</v>
      </c>
      <c r="Z45" s="45">
        <v>8.8000000000000007</v>
      </c>
      <c r="AA45" s="45">
        <v>8.8000000000000007</v>
      </c>
      <c r="AB45" s="45"/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9</v>
      </c>
      <c r="AI45" s="48">
        <f t="shared" si="3"/>
        <v>8.8000000000000007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9.42</v>
      </c>
      <c r="C46" s="45">
        <v>9.42</v>
      </c>
      <c r="D46" s="45">
        <v>9.42</v>
      </c>
      <c r="E46" s="45">
        <v>9.42</v>
      </c>
      <c r="F46" s="45">
        <v>9.42</v>
      </c>
      <c r="G46" s="45">
        <v>9.42</v>
      </c>
      <c r="H46" s="45">
        <v>9.42</v>
      </c>
      <c r="I46" s="45">
        <v>9.42</v>
      </c>
      <c r="J46" s="45">
        <v>9.42</v>
      </c>
      <c r="K46" s="45">
        <v>9.42</v>
      </c>
      <c r="L46" s="45">
        <v>9.42</v>
      </c>
      <c r="M46" s="45">
        <v>9.42</v>
      </c>
      <c r="N46" s="45">
        <v>9.42</v>
      </c>
      <c r="O46" s="45">
        <v>9.42</v>
      </c>
      <c r="P46" s="45">
        <v>9.42</v>
      </c>
      <c r="Q46" s="45">
        <v>9.42</v>
      </c>
      <c r="R46" s="45">
        <v>9.42</v>
      </c>
      <c r="S46" s="45">
        <v>9.42</v>
      </c>
      <c r="T46" s="45">
        <v>9.42</v>
      </c>
      <c r="U46" s="45">
        <v>9.42</v>
      </c>
      <c r="V46" s="45">
        <v>9.42</v>
      </c>
      <c r="W46" s="45">
        <v>9.42</v>
      </c>
      <c r="X46" s="45">
        <v>9.42</v>
      </c>
      <c r="Y46" s="45">
        <v>9.42</v>
      </c>
      <c r="Z46" s="45">
        <v>9.42</v>
      </c>
      <c r="AA46" s="45">
        <v>9.42</v>
      </c>
      <c r="AB46" s="45"/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9.42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/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/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124.9</v>
      </c>
      <c r="C49" s="56">
        <v>124.9</v>
      </c>
      <c r="D49" s="56">
        <v>124.9</v>
      </c>
      <c r="E49" s="58"/>
      <c r="F49" s="58"/>
      <c r="G49" s="58"/>
      <c r="H49" s="58"/>
      <c r="I49" s="58"/>
      <c r="J49" s="58"/>
      <c r="K49" s="58"/>
      <c r="L49" s="58"/>
      <c r="M49" s="58">
        <f>35.5+90.8</f>
        <v>126.3</v>
      </c>
      <c r="N49" s="58">
        <f>35.5+90.8</f>
        <v>126.3</v>
      </c>
      <c r="O49" s="58">
        <f>35.5+90.8</f>
        <v>126.3</v>
      </c>
      <c r="P49" s="58">
        <f>36.1+91.4</f>
        <v>127.5</v>
      </c>
      <c r="Q49" s="58">
        <v>125</v>
      </c>
      <c r="R49" s="58">
        <v>125</v>
      </c>
      <c r="S49" s="58">
        <v>111</v>
      </c>
      <c r="T49" s="58">
        <v>109.6</v>
      </c>
      <c r="U49" s="58">
        <v>109.6</v>
      </c>
      <c r="V49" s="58">
        <f>32.7+82.5</f>
        <v>115.2</v>
      </c>
      <c r="W49" s="58">
        <f>32.7+82.5</f>
        <v>115.2</v>
      </c>
      <c r="X49" s="58">
        <v>124.7</v>
      </c>
      <c r="Y49" s="58">
        <v>124.7</v>
      </c>
      <c r="Z49" s="58">
        <v>124.7</v>
      </c>
      <c r="AA49" s="58"/>
      <c r="AB49" s="56"/>
      <c r="AC49" s="56">
        <f>36.1+90.8</f>
        <v>126.9</v>
      </c>
      <c r="AD49" s="56">
        <f>36.1+90.8</f>
        <v>126.9</v>
      </c>
      <c r="AE49" s="56">
        <f>36.9+92.4</f>
        <v>129.30000000000001</v>
      </c>
      <c r="AF49" s="56">
        <f>36.9+92.7</f>
        <v>129.6</v>
      </c>
      <c r="AG49" s="54">
        <v>240</v>
      </c>
      <c r="AH49" s="47">
        <f t="shared" si="2"/>
        <v>129.6</v>
      </c>
      <c r="AI49" s="48">
        <f t="shared" si="3"/>
        <v>109.6</v>
      </c>
      <c r="AK49" s="50"/>
    </row>
    <row r="50" spans="1:41" ht="15.75" thickBot="1" x14ac:dyDescent="0.3">
      <c r="A50" s="59" t="s">
        <v>58</v>
      </c>
      <c r="B50" s="60">
        <v>1106.52</v>
      </c>
      <c r="C50" s="60">
        <v>1106.52</v>
      </c>
      <c r="D50" s="60">
        <v>1106.52</v>
      </c>
      <c r="E50" s="60">
        <f t="shared" ref="E50:AC50" si="4">SUM(E11:E48)</f>
        <v>1106.52</v>
      </c>
      <c r="F50" s="60">
        <f t="shared" si="4"/>
        <v>1106.52</v>
      </c>
      <c r="G50" s="60">
        <f t="shared" si="4"/>
        <v>1106.52</v>
      </c>
      <c r="H50" s="60">
        <f t="shared" si="4"/>
        <v>1106.52</v>
      </c>
      <c r="I50" s="60">
        <f t="shared" si="4"/>
        <v>1111.52</v>
      </c>
      <c r="J50" s="60">
        <f t="shared" si="4"/>
        <v>1111.52</v>
      </c>
      <c r="K50" s="60">
        <f t="shared" si="4"/>
        <v>1113.52</v>
      </c>
      <c r="L50" s="60">
        <f t="shared" si="4"/>
        <v>1170.52</v>
      </c>
      <c r="M50" s="60">
        <f t="shared" si="4"/>
        <v>1194.1199999999999</v>
      </c>
      <c r="N50" s="60">
        <f t="shared" si="4"/>
        <v>1186.1199999999999</v>
      </c>
      <c r="O50" s="60">
        <f t="shared" si="4"/>
        <v>1184.1199999999999</v>
      </c>
      <c r="P50" s="60">
        <f t="shared" si="4"/>
        <v>1184.1199999999999</v>
      </c>
      <c r="Q50" s="60">
        <f t="shared" si="4"/>
        <v>1184.1199999999999</v>
      </c>
      <c r="R50" s="60">
        <f t="shared" si="4"/>
        <v>1180.1199999999999</v>
      </c>
      <c r="S50" s="60">
        <f t="shared" si="4"/>
        <v>1179.7199999999998</v>
      </c>
      <c r="T50" s="60">
        <f>SUM(T11:T48)</f>
        <v>1200.7199999999998</v>
      </c>
      <c r="U50" s="60">
        <f>SUM(U11:U48)</f>
        <v>1200.7199999999998</v>
      </c>
      <c r="V50" s="60">
        <f t="shared" si="4"/>
        <v>1200.7199999999998</v>
      </c>
      <c r="W50" s="60">
        <f t="shared" si="4"/>
        <v>1200.7199999999998</v>
      </c>
      <c r="X50" s="60">
        <f>SUM(X11:X48)</f>
        <v>1194.7199999999998</v>
      </c>
      <c r="Y50" s="60">
        <f t="shared" si="4"/>
        <v>1199.7199999999998</v>
      </c>
      <c r="Z50" s="60">
        <f>SUM(Z11:Z48)</f>
        <v>1202.3199999999997</v>
      </c>
      <c r="AA50" s="60">
        <f>SUM(AA11:AA48)</f>
        <v>1202.3199999999997</v>
      </c>
      <c r="AB50" s="60">
        <f t="shared" si="4"/>
        <v>0</v>
      </c>
      <c r="AC50" s="60">
        <f t="shared" si="4"/>
        <v>1149.5999999999999</v>
      </c>
      <c r="AD50" s="60">
        <f>SUM(AD11:AD48)</f>
        <v>1149.5999999999999</v>
      </c>
      <c r="AE50" s="60">
        <f>SUM(AE11:AE48)</f>
        <v>1167.8</v>
      </c>
      <c r="AF50" s="60">
        <f>SUM(AF11:AF48)</f>
        <v>1168.0999999999999</v>
      </c>
      <c r="AG50" s="61">
        <f>SUM(AG13:AG48)</f>
        <v>922.14</v>
      </c>
      <c r="AH50" s="47">
        <f t="shared" si="2"/>
        <v>1202.3199999999997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175">
        <v>456</v>
      </c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175">
        <v>456</v>
      </c>
      <c r="Z51" s="175">
        <v>456</v>
      </c>
      <c r="AA51" s="175">
        <v>456</v>
      </c>
      <c r="AB51" s="45"/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48</v>
      </c>
      <c r="C52" s="64">
        <v>48</v>
      </c>
      <c r="D52" s="64">
        <v>48</v>
      </c>
      <c r="E52" s="64">
        <v>48</v>
      </c>
      <c r="F52" s="64">
        <v>48</v>
      </c>
      <c r="G52" s="64">
        <v>48</v>
      </c>
      <c r="H52" s="64">
        <v>48</v>
      </c>
      <c r="I52" s="64">
        <v>48</v>
      </c>
      <c r="J52" s="64">
        <v>48</v>
      </c>
      <c r="K52" s="64">
        <v>48</v>
      </c>
      <c r="L52" s="64">
        <v>48</v>
      </c>
      <c r="M52" s="64">
        <v>48</v>
      </c>
      <c r="N52" s="64">
        <v>48</v>
      </c>
      <c r="O52" s="64">
        <v>48</v>
      </c>
      <c r="P52" s="64">
        <v>48</v>
      </c>
      <c r="Q52" s="64">
        <v>48</v>
      </c>
      <c r="R52" s="64">
        <v>48</v>
      </c>
      <c r="S52" s="64">
        <v>48</v>
      </c>
      <c r="T52" s="64">
        <v>48</v>
      </c>
      <c r="U52" s="64">
        <v>48</v>
      </c>
      <c r="V52" s="64">
        <v>48</v>
      </c>
      <c r="W52" s="64">
        <v>48</v>
      </c>
      <c r="X52" s="64">
        <v>48</v>
      </c>
      <c r="Y52" s="64">
        <v>60</v>
      </c>
      <c r="Z52" s="64">
        <v>60</v>
      </c>
      <c r="AA52" s="64">
        <v>60</v>
      </c>
      <c r="AB52" s="64"/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48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22.5</v>
      </c>
      <c r="AA53" s="66">
        <v>22.5</v>
      </c>
      <c r="AB53" s="66"/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22.5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v>526.5</v>
      </c>
      <c r="C54" s="60">
        <v>526.5</v>
      </c>
      <c r="D54" s="60">
        <v>526.5</v>
      </c>
      <c r="E54" s="60">
        <f t="shared" ref="E54:AG54" si="5">SUM(E51:E53)</f>
        <v>526.5</v>
      </c>
      <c r="F54" s="60">
        <f t="shared" si="5"/>
        <v>526.5</v>
      </c>
      <c r="G54" s="60">
        <f t="shared" si="5"/>
        <v>526.5</v>
      </c>
      <c r="H54" s="60">
        <f t="shared" si="5"/>
        <v>526.5</v>
      </c>
      <c r="I54" s="60">
        <f t="shared" si="5"/>
        <v>526.5</v>
      </c>
      <c r="J54" s="60">
        <f t="shared" si="5"/>
        <v>526.5</v>
      </c>
      <c r="K54" s="60">
        <f t="shared" si="5"/>
        <v>526.5</v>
      </c>
      <c r="L54" s="60">
        <f t="shared" si="5"/>
        <v>526.5</v>
      </c>
      <c r="M54" s="60">
        <f t="shared" si="5"/>
        <v>526.5</v>
      </c>
      <c r="N54" s="60">
        <f t="shared" si="5"/>
        <v>526.5</v>
      </c>
      <c r="O54" s="60">
        <f t="shared" si="5"/>
        <v>526.5</v>
      </c>
      <c r="P54" s="60">
        <f t="shared" si="5"/>
        <v>526.5</v>
      </c>
      <c r="Q54" s="60">
        <f t="shared" si="5"/>
        <v>526.5</v>
      </c>
      <c r="R54" s="60">
        <f t="shared" si="5"/>
        <v>526.5</v>
      </c>
      <c r="S54" s="60">
        <f t="shared" si="5"/>
        <v>526.5</v>
      </c>
      <c r="T54" s="60">
        <f>SUM(T51:T53)</f>
        <v>526.5</v>
      </c>
      <c r="U54" s="60">
        <f>SUM(U51:U53)</f>
        <v>526.5</v>
      </c>
      <c r="V54" s="60">
        <f t="shared" si="5"/>
        <v>526.5</v>
      </c>
      <c r="W54" s="60">
        <f t="shared" si="5"/>
        <v>526.5</v>
      </c>
      <c r="X54" s="60">
        <f>SUM(X51:X53)</f>
        <v>526.5</v>
      </c>
      <c r="Y54" s="60">
        <f t="shared" si="5"/>
        <v>538.5</v>
      </c>
      <c r="Z54" s="60">
        <f>SUM(Z51:Z53)</f>
        <v>538.5</v>
      </c>
      <c r="AA54" s="60">
        <f>SUM(AA51:AA53)</f>
        <v>538.5</v>
      </c>
      <c r="AB54" s="60">
        <f t="shared" si="5"/>
        <v>0</v>
      </c>
      <c r="AC54" s="60">
        <f t="shared" si="5"/>
        <v>538</v>
      </c>
      <c r="AD54" s="60">
        <f>SUM(AD51:AD53)</f>
        <v>538</v>
      </c>
      <c r="AE54" s="60">
        <f>SUM(AE51:AE53)</f>
        <v>538</v>
      </c>
      <c r="AF54" s="60">
        <f>SUM(AF51:AF53)</f>
        <v>538</v>
      </c>
      <c r="AG54" s="61">
        <f t="shared" si="5"/>
        <v>538.1</v>
      </c>
      <c r="AH54" s="47">
        <f t="shared" si="2"/>
        <v>538.5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143.69999999999999</v>
      </c>
      <c r="C55" s="45">
        <v>143.69999999999999</v>
      </c>
      <c r="D55" s="45">
        <v>143.69999999999999</v>
      </c>
      <c r="E55" s="45">
        <v>143.69999999999999</v>
      </c>
      <c r="F55" s="45">
        <v>143.69999999999999</v>
      </c>
      <c r="G55" s="45">
        <v>143.69999999999999</v>
      </c>
      <c r="H55" s="45">
        <v>143.69999999999999</v>
      </c>
      <c r="I55" s="45">
        <v>143.69999999999999</v>
      </c>
      <c r="J55" s="45">
        <v>143.69999999999999</v>
      </c>
      <c r="K55" s="45">
        <v>143.69999999999999</v>
      </c>
      <c r="L55" s="45">
        <v>143.69999999999999</v>
      </c>
      <c r="M55" s="45">
        <v>143.69999999999999</v>
      </c>
      <c r="N55" s="45">
        <v>143.69999999999999</v>
      </c>
      <c r="O55" s="45">
        <v>143.69999999999999</v>
      </c>
      <c r="P55" s="45">
        <v>143.69999999999999</v>
      </c>
      <c r="Q55" s="45">
        <v>144</v>
      </c>
      <c r="R55" s="45">
        <v>144</v>
      </c>
      <c r="S55" s="45">
        <v>144</v>
      </c>
      <c r="T55" s="45">
        <v>144</v>
      </c>
      <c r="U55" s="45">
        <v>144</v>
      </c>
      <c r="V55" s="45">
        <v>144</v>
      </c>
      <c r="W55" s="45">
        <v>144</v>
      </c>
      <c r="X55" s="45">
        <v>144</v>
      </c>
      <c r="Y55" s="45">
        <v>144</v>
      </c>
      <c r="Z55" s="45">
        <v>144</v>
      </c>
      <c r="AA55" s="45">
        <v>144</v>
      </c>
      <c r="AB55" s="45"/>
      <c r="AC55" s="45">
        <v>145.30000000000001</v>
      </c>
      <c r="AD55" s="45">
        <v>145.4</v>
      </c>
      <c r="AE55" s="45">
        <v>145.19999999999999</v>
      </c>
      <c r="AF55" s="45">
        <v>144.6</v>
      </c>
      <c r="AG55" s="51">
        <v>144</v>
      </c>
      <c r="AH55" s="47">
        <f t="shared" si="2"/>
        <v>145.4</v>
      </c>
      <c r="AI55" s="48">
        <f t="shared" si="3"/>
        <v>143.69999999999999</v>
      </c>
      <c r="AK55" s="50"/>
    </row>
    <row r="56" spans="1:41" x14ac:dyDescent="0.25">
      <c r="A56" s="53" t="s">
        <v>64</v>
      </c>
      <c r="B56" s="64">
        <v>69.900000000000006</v>
      </c>
      <c r="C56" s="64">
        <v>69.900000000000006</v>
      </c>
      <c r="D56" s="64">
        <v>69.900000000000006</v>
      </c>
      <c r="E56" s="64">
        <v>69.900000000000006</v>
      </c>
      <c r="F56" s="64">
        <v>69.900000000000006</v>
      </c>
      <c r="G56" s="64">
        <v>69.900000000000006</v>
      </c>
      <c r="H56" s="64">
        <v>69.900000000000006</v>
      </c>
      <c r="I56" s="64">
        <v>69.900000000000006</v>
      </c>
      <c r="J56" s="64">
        <v>69.900000000000006</v>
      </c>
      <c r="K56" s="64">
        <v>69.900000000000006</v>
      </c>
      <c r="L56" s="64">
        <v>69.900000000000006</v>
      </c>
      <c r="M56" s="64">
        <v>69</v>
      </c>
      <c r="N56" s="64">
        <v>69</v>
      </c>
      <c r="O56" s="64">
        <v>69</v>
      </c>
      <c r="P56" s="64">
        <v>69</v>
      </c>
      <c r="Q56" s="64">
        <v>68.900000000000006</v>
      </c>
      <c r="R56" s="64">
        <v>69</v>
      </c>
      <c r="S56" s="64">
        <v>69</v>
      </c>
      <c r="T56" s="64">
        <v>69</v>
      </c>
      <c r="U56" s="64">
        <v>69</v>
      </c>
      <c r="V56" s="64">
        <v>70.7</v>
      </c>
      <c r="W56" s="64">
        <v>70.2</v>
      </c>
      <c r="X56" s="64">
        <v>70.2</v>
      </c>
      <c r="Y56" s="64">
        <v>70.2</v>
      </c>
      <c r="Z56" s="64">
        <v>70.2</v>
      </c>
      <c r="AA56" s="64">
        <v>70.2</v>
      </c>
      <c r="AB56" s="45"/>
      <c r="AC56" s="45">
        <v>69.599999999999994</v>
      </c>
      <c r="AD56" s="45">
        <v>69.599999999999994</v>
      </c>
      <c r="AE56" s="45">
        <v>69.400000000000006</v>
      </c>
      <c r="AF56" s="45">
        <v>69.900000000000006</v>
      </c>
      <c r="AG56" s="54">
        <v>70</v>
      </c>
      <c r="AH56" s="47">
        <f t="shared" si="2"/>
        <v>70.7</v>
      </c>
      <c r="AI56" s="48">
        <f t="shared" si="3"/>
        <v>68.900000000000006</v>
      </c>
      <c r="AK56" s="50"/>
    </row>
    <row r="57" spans="1:41" x14ac:dyDescent="0.25">
      <c r="A57" s="53" t="s">
        <v>65</v>
      </c>
      <c r="B57" s="64">
        <v>65.599999999999994</v>
      </c>
      <c r="C57" s="64">
        <v>65.599999999999994</v>
      </c>
      <c r="D57" s="64">
        <v>65.599999999999994</v>
      </c>
      <c r="E57" s="64">
        <v>65.599999999999994</v>
      </c>
      <c r="F57" s="64">
        <v>65.599999999999994</v>
      </c>
      <c r="G57" s="64">
        <v>65.599999999999994</v>
      </c>
      <c r="H57" s="64">
        <v>65.599999999999994</v>
      </c>
      <c r="I57" s="64">
        <v>65.599999999999994</v>
      </c>
      <c r="J57" s="64">
        <v>65.599999999999994</v>
      </c>
      <c r="K57" s="64">
        <v>65.599999999999994</v>
      </c>
      <c r="L57" s="64">
        <v>65.599999999999994</v>
      </c>
      <c r="M57" s="64">
        <v>65.400000000000006</v>
      </c>
      <c r="N57" s="64">
        <v>65.400000000000006</v>
      </c>
      <c r="O57" s="64">
        <v>65.400000000000006</v>
      </c>
      <c r="P57" s="64">
        <v>65.400000000000006</v>
      </c>
      <c r="Q57" s="64">
        <v>65.3</v>
      </c>
      <c r="R57" s="64">
        <v>66</v>
      </c>
      <c r="S57" s="64">
        <v>66</v>
      </c>
      <c r="T57" s="64">
        <v>66</v>
      </c>
      <c r="U57" s="64">
        <v>66</v>
      </c>
      <c r="V57" s="64">
        <v>65.599999999999994</v>
      </c>
      <c r="W57" s="64">
        <v>65.2</v>
      </c>
      <c r="X57" s="64">
        <v>65.2</v>
      </c>
      <c r="Y57" s="64">
        <v>65.2</v>
      </c>
      <c r="Z57" s="64">
        <v>65.2</v>
      </c>
      <c r="AA57" s="64">
        <v>65.2</v>
      </c>
      <c r="AB57" s="45"/>
      <c r="AC57" s="45">
        <v>66</v>
      </c>
      <c r="AD57" s="45">
        <v>65.400000000000006</v>
      </c>
      <c r="AE57" s="45">
        <v>65.3</v>
      </c>
      <c r="AF57" s="45">
        <v>65.5</v>
      </c>
      <c r="AG57" s="54">
        <v>69</v>
      </c>
      <c r="AH57" s="47">
        <f t="shared" si="2"/>
        <v>66</v>
      </c>
      <c r="AI57" s="48">
        <f t="shared" si="3"/>
        <v>65.2</v>
      </c>
      <c r="AK57" s="50"/>
    </row>
    <row r="58" spans="1:41" x14ac:dyDescent="0.25">
      <c r="A58" s="53" t="s">
        <v>66</v>
      </c>
      <c r="B58" s="64">
        <v>60</v>
      </c>
      <c r="C58" s="64">
        <v>60</v>
      </c>
      <c r="D58" s="64">
        <v>60</v>
      </c>
      <c r="E58" s="64">
        <v>60</v>
      </c>
      <c r="F58" s="64">
        <v>60</v>
      </c>
      <c r="G58" s="64">
        <v>60</v>
      </c>
      <c r="H58" s="64">
        <v>60</v>
      </c>
      <c r="I58" s="64">
        <v>60</v>
      </c>
      <c r="J58" s="64">
        <v>60</v>
      </c>
      <c r="K58" s="64">
        <v>60</v>
      </c>
      <c r="L58" s="64">
        <v>60</v>
      </c>
      <c r="M58" s="64">
        <v>60</v>
      </c>
      <c r="N58" s="64">
        <v>60</v>
      </c>
      <c r="O58" s="64">
        <v>58.2</v>
      </c>
      <c r="P58" s="64">
        <v>58.2</v>
      </c>
      <c r="Q58" s="64">
        <v>58.5</v>
      </c>
      <c r="R58" s="64">
        <v>58</v>
      </c>
      <c r="S58" s="64">
        <v>58</v>
      </c>
      <c r="T58" s="64">
        <v>58</v>
      </c>
      <c r="U58" s="64">
        <v>58</v>
      </c>
      <c r="V58" s="64">
        <v>60.2</v>
      </c>
      <c r="W58" s="64">
        <v>60.4</v>
      </c>
      <c r="X58" s="64">
        <v>60.4</v>
      </c>
      <c r="Y58" s="64">
        <v>60.4</v>
      </c>
      <c r="Z58" s="64">
        <v>60.4</v>
      </c>
      <c r="AA58" s="64">
        <v>60.4</v>
      </c>
      <c r="AB58" s="45"/>
      <c r="AC58" s="45">
        <v>60</v>
      </c>
      <c r="AD58" s="45">
        <v>60</v>
      </c>
      <c r="AE58" s="45">
        <v>59.7</v>
      </c>
      <c r="AF58" s="45">
        <v>60</v>
      </c>
      <c r="AG58" s="54">
        <v>60</v>
      </c>
      <c r="AH58" s="47">
        <f t="shared" si="2"/>
        <v>60.4</v>
      </c>
      <c r="AI58" s="48">
        <f t="shared" si="3"/>
        <v>58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30</v>
      </c>
      <c r="F59" s="64">
        <v>30</v>
      </c>
      <c r="G59" s="64">
        <v>30</v>
      </c>
      <c r="H59" s="64">
        <v>30</v>
      </c>
      <c r="I59" s="64">
        <v>30</v>
      </c>
      <c r="J59" s="64">
        <v>30</v>
      </c>
      <c r="K59" s="64">
        <v>30</v>
      </c>
      <c r="L59" s="64">
        <v>30</v>
      </c>
      <c r="M59" s="64">
        <v>30</v>
      </c>
      <c r="N59" s="64">
        <v>30</v>
      </c>
      <c r="O59" s="64">
        <v>30</v>
      </c>
      <c r="P59" s="64">
        <v>30</v>
      </c>
      <c r="Q59" s="64">
        <v>30</v>
      </c>
      <c r="R59" s="64">
        <v>30</v>
      </c>
      <c r="S59" s="64">
        <v>30</v>
      </c>
      <c r="T59" s="64">
        <v>30</v>
      </c>
      <c r="U59" s="64">
        <v>30</v>
      </c>
      <c r="V59" s="64">
        <v>30</v>
      </c>
      <c r="W59" s="64">
        <v>30</v>
      </c>
      <c r="X59" s="64">
        <v>30</v>
      </c>
      <c r="Y59" s="64">
        <v>30</v>
      </c>
      <c r="Z59" s="64">
        <v>30</v>
      </c>
      <c r="AA59" s="64">
        <v>30</v>
      </c>
      <c r="AB59" s="45"/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30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9.5</v>
      </c>
      <c r="N60" s="64">
        <v>13.5</v>
      </c>
      <c r="O60" s="64">
        <v>17.2</v>
      </c>
      <c r="P60" s="64">
        <v>17.2</v>
      </c>
      <c r="Q60" s="64">
        <v>18.600000000000001</v>
      </c>
      <c r="R60" s="64">
        <v>18.600000000000001</v>
      </c>
      <c r="S60" s="64">
        <v>13</v>
      </c>
      <c r="T60" s="64">
        <v>11.6</v>
      </c>
      <c r="U60" s="64">
        <v>5.6</v>
      </c>
      <c r="V60" s="64">
        <v>1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45"/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18.600000000000001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16</v>
      </c>
      <c r="C61" s="64">
        <v>16</v>
      </c>
      <c r="D61" s="64">
        <v>16</v>
      </c>
      <c r="E61" s="64">
        <v>16</v>
      </c>
      <c r="F61" s="64">
        <v>16</v>
      </c>
      <c r="G61" s="64">
        <v>16</v>
      </c>
      <c r="H61" s="64">
        <v>16</v>
      </c>
      <c r="I61" s="64">
        <v>16</v>
      </c>
      <c r="J61" s="64">
        <v>16</v>
      </c>
      <c r="K61" s="64">
        <v>16</v>
      </c>
      <c r="L61" s="64">
        <v>16</v>
      </c>
      <c r="M61" s="64">
        <v>16</v>
      </c>
      <c r="N61" s="64">
        <v>16</v>
      </c>
      <c r="O61" s="64">
        <v>16</v>
      </c>
      <c r="P61" s="64">
        <v>16</v>
      </c>
      <c r="Q61" s="64">
        <v>16</v>
      </c>
      <c r="R61" s="64">
        <v>17.399999999999999</v>
      </c>
      <c r="S61" s="64">
        <v>17.399999999999999</v>
      </c>
      <c r="T61" s="64">
        <v>17.399999999999999</v>
      </c>
      <c r="U61" s="64">
        <v>17.399999999999999</v>
      </c>
      <c r="V61" s="64">
        <v>17.399999999999999</v>
      </c>
      <c r="W61" s="64">
        <v>17.399999999999999</v>
      </c>
      <c r="X61" s="64">
        <v>17.399999999999999</v>
      </c>
      <c r="Y61" s="64">
        <v>17.399999999999999</v>
      </c>
      <c r="Z61" s="64">
        <v>17.399999999999999</v>
      </c>
      <c r="AA61" s="64">
        <v>17.399999999999999</v>
      </c>
      <c r="AB61" s="64"/>
      <c r="AC61" s="64">
        <v>17</v>
      </c>
      <c r="AD61" s="64">
        <v>17</v>
      </c>
      <c r="AE61" s="64">
        <v>17</v>
      </c>
      <c r="AF61" s="64">
        <v>17</v>
      </c>
      <c r="AG61" s="54">
        <v>24</v>
      </c>
      <c r="AH61" s="47">
        <f t="shared" si="2"/>
        <v>17.399999999999999</v>
      </c>
      <c r="AI61" s="48">
        <f t="shared" si="3"/>
        <v>16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/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8.4</v>
      </c>
      <c r="C63" s="64">
        <v>8.4</v>
      </c>
      <c r="D63" s="64">
        <v>8.4</v>
      </c>
      <c r="E63" s="64">
        <v>8.4</v>
      </c>
      <c r="F63" s="64">
        <v>8.4</v>
      </c>
      <c r="G63" s="64">
        <v>8.4</v>
      </c>
      <c r="H63" s="64">
        <v>8.4</v>
      </c>
      <c r="I63" s="64">
        <v>8.4</v>
      </c>
      <c r="J63" s="64">
        <v>8.4</v>
      </c>
      <c r="K63" s="64">
        <v>8.4</v>
      </c>
      <c r="L63" s="64">
        <v>8.4</v>
      </c>
      <c r="M63" s="64">
        <v>10.4</v>
      </c>
      <c r="N63" s="64">
        <v>10.4</v>
      </c>
      <c r="O63" s="64">
        <v>10.4</v>
      </c>
      <c r="P63" s="64">
        <v>10.4</v>
      </c>
      <c r="Q63" s="64">
        <v>10.4</v>
      </c>
      <c r="R63" s="64">
        <v>10.4</v>
      </c>
      <c r="S63" s="64">
        <v>10.4</v>
      </c>
      <c r="T63" s="64">
        <v>10.4</v>
      </c>
      <c r="U63" s="64">
        <v>10.4</v>
      </c>
      <c r="V63" s="64">
        <v>10.4</v>
      </c>
      <c r="W63" s="64">
        <v>10.4</v>
      </c>
      <c r="X63" s="64">
        <v>10.4</v>
      </c>
      <c r="Y63" s="64">
        <v>10.4</v>
      </c>
      <c r="Z63" s="64">
        <v>10.4</v>
      </c>
      <c r="AA63" s="64">
        <v>10.4</v>
      </c>
      <c r="AB63" s="64"/>
      <c r="AC63" s="64">
        <v>9.4</v>
      </c>
      <c r="AD63" s="64">
        <v>9.4</v>
      </c>
      <c r="AE63" s="64">
        <v>10.1</v>
      </c>
      <c r="AF63" s="64">
        <v>9.9</v>
      </c>
      <c r="AG63" s="54">
        <v>14.1</v>
      </c>
      <c r="AH63" s="47">
        <f t="shared" si="2"/>
        <v>10.4</v>
      </c>
      <c r="AI63" s="48">
        <f t="shared" si="3"/>
        <v>8.4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13.5</v>
      </c>
      <c r="C64" s="64">
        <v>13.5</v>
      </c>
      <c r="D64" s="64">
        <v>13.5</v>
      </c>
      <c r="E64" s="64">
        <v>13.5</v>
      </c>
      <c r="F64" s="64">
        <v>13.5</v>
      </c>
      <c r="G64" s="64">
        <v>13.5</v>
      </c>
      <c r="H64" s="64">
        <v>13.5</v>
      </c>
      <c r="I64" s="64">
        <v>13.5</v>
      </c>
      <c r="J64" s="64">
        <v>13.5</v>
      </c>
      <c r="K64" s="64">
        <v>13.5</v>
      </c>
      <c r="L64" s="64">
        <v>13.5</v>
      </c>
      <c r="M64" s="64">
        <v>14</v>
      </c>
      <c r="N64" s="64">
        <v>14</v>
      </c>
      <c r="O64" s="64">
        <v>9.6999999999999993</v>
      </c>
      <c r="P64" s="64">
        <v>9.6999999999999993</v>
      </c>
      <c r="Q64" s="64">
        <v>9.6999999999999993</v>
      </c>
      <c r="R64" s="64">
        <v>9.6999999999999993</v>
      </c>
      <c r="S64" s="64">
        <v>9.6999999999999993</v>
      </c>
      <c r="T64" s="64">
        <v>9.6999999999999993</v>
      </c>
      <c r="U64" s="64">
        <v>9.6999999999999993</v>
      </c>
      <c r="V64" s="64">
        <v>9.6999999999999993</v>
      </c>
      <c r="W64" s="64">
        <v>9.6999999999999993</v>
      </c>
      <c r="X64" s="64">
        <v>9.6999999999999993</v>
      </c>
      <c r="Y64" s="64">
        <v>9.6999999999999993</v>
      </c>
      <c r="Z64" s="64">
        <v>9.6999999999999993</v>
      </c>
      <c r="AA64" s="64">
        <v>9.6999999999999993</v>
      </c>
      <c r="AB64" s="64"/>
      <c r="AC64" s="64">
        <v>7.1</v>
      </c>
      <c r="AD64" s="64">
        <v>7.1</v>
      </c>
      <c r="AE64" s="64">
        <v>7.1</v>
      </c>
      <c r="AF64" s="64">
        <v>7.1</v>
      </c>
      <c r="AG64" s="54">
        <v>14</v>
      </c>
      <c r="AH64" s="47">
        <f t="shared" si="2"/>
        <v>14</v>
      </c>
      <c r="AI64" s="48">
        <f t="shared" si="3"/>
        <v>7.1</v>
      </c>
      <c r="AK64" s="50"/>
    </row>
    <row r="65" spans="1:40" x14ac:dyDescent="0.25">
      <c r="A65" s="53" t="s">
        <v>73</v>
      </c>
      <c r="B65" s="64">
        <v>9.1999999999999993</v>
      </c>
      <c r="C65" s="64">
        <v>9.1999999999999993</v>
      </c>
      <c r="D65" s="64">
        <v>9.1999999999999993</v>
      </c>
      <c r="E65" s="64">
        <v>9.1999999999999993</v>
      </c>
      <c r="F65" s="64">
        <v>9.1999999999999993</v>
      </c>
      <c r="G65" s="64">
        <v>9.1999999999999993</v>
      </c>
      <c r="H65" s="64">
        <v>9.1999999999999993</v>
      </c>
      <c r="I65" s="64">
        <v>9.1999999999999993</v>
      </c>
      <c r="J65" s="64">
        <v>9.1999999999999993</v>
      </c>
      <c r="K65" s="64">
        <v>9.1999999999999993</v>
      </c>
      <c r="L65" s="64">
        <v>9.1999999999999993</v>
      </c>
      <c r="M65" s="64">
        <v>9.1999999999999993</v>
      </c>
      <c r="N65" s="64">
        <v>9.1999999999999993</v>
      </c>
      <c r="O65" s="64">
        <v>9.1999999999999993</v>
      </c>
      <c r="P65" s="64">
        <v>9.1999999999999993</v>
      </c>
      <c r="Q65" s="64">
        <v>9.1999999999999993</v>
      </c>
      <c r="R65" s="64">
        <v>9.1999999999999993</v>
      </c>
      <c r="S65" s="64">
        <v>9.1999999999999993</v>
      </c>
      <c r="T65" s="64">
        <v>9.1999999999999993</v>
      </c>
      <c r="U65" s="64">
        <v>9.1999999999999993</v>
      </c>
      <c r="V65" s="64">
        <v>9.1999999999999993</v>
      </c>
      <c r="W65" s="64">
        <v>9.1999999999999993</v>
      </c>
      <c r="X65" s="64">
        <v>9.1999999999999993</v>
      </c>
      <c r="Y65" s="64">
        <v>9.1999999999999993</v>
      </c>
      <c r="Z65" s="64">
        <v>9.1999999999999993</v>
      </c>
      <c r="AA65" s="64">
        <v>9.1999999999999993</v>
      </c>
      <c r="AB65" s="64"/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9.1999999999999993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/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431.03999999999996</v>
      </c>
      <c r="C68" s="60">
        <f t="shared" si="6"/>
        <v>431.03999999999996</v>
      </c>
      <c r="D68" s="60">
        <f t="shared" si="6"/>
        <v>431.03999999999996</v>
      </c>
      <c r="E68" s="60">
        <f t="shared" si="6"/>
        <v>431.03999999999996</v>
      </c>
      <c r="F68" s="60">
        <f t="shared" si="6"/>
        <v>431.03999999999996</v>
      </c>
      <c r="G68" s="60">
        <f t="shared" si="6"/>
        <v>431.03999999999996</v>
      </c>
      <c r="H68" s="60">
        <f t="shared" si="6"/>
        <v>431.03999999999996</v>
      </c>
      <c r="I68" s="60">
        <f t="shared" si="6"/>
        <v>431.03999999999996</v>
      </c>
      <c r="J68" s="60">
        <f t="shared" si="6"/>
        <v>431.03999999999996</v>
      </c>
      <c r="K68" s="60">
        <f t="shared" si="6"/>
        <v>431.03999999999996</v>
      </c>
      <c r="L68" s="60">
        <f t="shared" si="6"/>
        <v>431.03999999999996</v>
      </c>
      <c r="M68" s="60">
        <f t="shared" si="6"/>
        <v>441.94</v>
      </c>
      <c r="N68" s="60">
        <f t="shared" si="6"/>
        <v>445.94</v>
      </c>
      <c r="O68" s="60">
        <f t="shared" si="6"/>
        <v>443.53999999999996</v>
      </c>
      <c r="P68" s="60">
        <f t="shared" si="6"/>
        <v>443.53999999999996</v>
      </c>
      <c r="Q68" s="60">
        <f t="shared" si="6"/>
        <v>445.34</v>
      </c>
      <c r="R68" s="60">
        <f t="shared" si="6"/>
        <v>447.03999999999996</v>
      </c>
      <c r="S68" s="60">
        <f>SUM(S55:S67)</f>
        <v>441.43999999999994</v>
      </c>
      <c r="T68" s="60">
        <f>SUM(T55:T67)</f>
        <v>440.03999999999996</v>
      </c>
      <c r="U68" s="60">
        <f>SUM(U55:U67)</f>
        <v>434.03999999999996</v>
      </c>
      <c r="V68" s="60">
        <f t="shared" si="6"/>
        <v>432.93999999999988</v>
      </c>
      <c r="W68" s="60">
        <f t="shared" si="6"/>
        <v>431.2399999999999</v>
      </c>
      <c r="X68" s="60">
        <f>SUM(X55:X67)</f>
        <v>431.2399999999999</v>
      </c>
      <c r="Y68" s="60">
        <f t="shared" si="6"/>
        <v>431.2399999999999</v>
      </c>
      <c r="Z68" s="60">
        <f>SUM(Z55:Z67)</f>
        <v>431.2399999999999</v>
      </c>
      <c r="AA68" s="60">
        <f>SUM(AA55:AA67)</f>
        <v>431.2399999999999</v>
      </c>
      <c r="AB68" s="60">
        <f t="shared" si="6"/>
        <v>3.54</v>
      </c>
      <c r="AC68" s="60">
        <f t="shared" si="6"/>
        <v>428.14</v>
      </c>
      <c r="AD68" s="60">
        <f t="shared" si="6"/>
        <v>427.64</v>
      </c>
      <c r="AE68" s="60">
        <f>SUM(AE55:AE67)</f>
        <v>427.54</v>
      </c>
      <c r="AF68" s="60">
        <f>SUM(AF55:AF67)</f>
        <v>427.74</v>
      </c>
      <c r="AG68" s="61">
        <f t="shared" si="6"/>
        <v>489.91</v>
      </c>
      <c r="AH68" s="47">
        <f t="shared" si="2"/>
        <v>447.03999999999996</v>
      </c>
      <c r="AI68" s="48">
        <f t="shared" si="3"/>
        <v>3.54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/>
      <c r="F69" s="45"/>
      <c r="G69" s="45"/>
      <c r="H69" s="45"/>
      <c r="I69" s="45"/>
      <c r="J69" s="45"/>
      <c r="K69" s="45"/>
      <c r="L69" s="45"/>
      <c r="M69" s="45">
        <v>20</v>
      </c>
      <c r="N69" s="45">
        <v>10</v>
      </c>
      <c r="O69" s="45">
        <v>30</v>
      </c>
      <c r="P69" s="45">
        <v>10</v>
      </c>
      <c r="Q69" s="45">
        <v>0</v>
      </c>
      <c r="R69" s="45">
        <v>14</v>
      </c>
      <c r="S69" s="45">
        <v>14</v>
      </c>
      <c r="T69" s="45">
        <v>14</v>
      </c>
      <c r="U69" s="45">
        <v>14</v>
      </c>
      <c r="V69" s="45">
        <v>20</v>
      </c>
      <c r="W69" s="45">
        <v>40</v>
      </c>
      <c r="X69" s="45">
        <v>36</v>
      </c>
      <c r="Y69" s="45">
        <v>60</v>
      </c>
      <c r="Z69" s="45">
        <v>60</v>
      </c>
      <c r="AA69" s="45"/>
      <c r="AB69" s="45"/>
      <c r="AC69" s="45">
        <v>60</v>
      </c>
      <c r="AD69" s="45">
        <v>20</v>
      </c>
      <c r="AE69" s="45">
        <v>0</v>
      </c>
      <c r="AF69" s="45">
        <v>0</v>
      </c>
      <c r="AG69" s="51">
        <v>60</v>
      </c>
      <c r="AH69" s="47">
        <f t="shared" si="2"/>
        <v>60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64"/>
      <c r="F70" s="64"/>
      <c r="G70" s="64"/>
      <c r="H70" s="64"/>
      <c r="I70" s="64"/>
      <c r="J70" s="64"/>
      <c r="K70" s="64"/>
      <c r="L70" s="64"/>
      <c r="M70" s="64">
        <v>9.5</v>
      </c>
      <c r="N70" s="64">
        <v>7</v>
      </c>
      <c r="O70" s="64">
        <v>15</v>
      </c>
      <c r="P70" s="64">
        <v>5.4</v>
      </c>
      <c r="Q70" s="64">
        <v>7.9</v>
      </c>
      <c r="R70" s="64">
        <v>5.9</v>
      </c>
      <c r="S70" s="64">
        <v>5.9</v>
      </c>
      <c r="T70" s="64">
        <v>5.9</v>
      </c>
      <c r="U70" s="64">
        <v>5.9</v>
      </c>
      <c r="V70" s="64">
        <v>15.7</v>
      </c>
      <c r="W70" s="64">
        <v>13.1</v>
      </c>
      <c r="X70" s="64">
        <v>18.2</v>
      </c>
      <c r="Y70" s="64">
        <v>30.2</v>
      </c>
      <c r="Z70" s="64">
        <v>30.2</v>
      </c>
      <c r="AA70" s="64"/>
      <c r="AB70" s="64"/>
      <c r="AC70" s="64">
        <v>30.2</v>
      </c>
      <c r="AD70" s="64">
        <v>14.2</v>
      </c>
      <c r="AE70" s="64">
        <v>0</v>
      </c>
      <c r="AF70" s="64">
        <v>0</v>
      </c>
      <c r="AG70" s="54">
        <v>32</v>
      </c>
      <c r="AH70" s="47">
        <f t="shared" si="2"/>
        <v>30.2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66"/>
      <c r="F71" s="66"/>
      <c r="G71" s="66"/>
      <c r="H71" s="66"/>
      <c r="I71" s="66"/>
      <c r="J71" s="66"/>
      <c r="K71" s="66"/>
      <c r="L71" s="66"/>
      <c r="M71" s="66">
        <v>3.5</v>
      </c>
      <c r="N71" s="66">
        <v>2.5</v>
      </c>
      <c r="O71" s="66">
        <v>5.5</v>
      </c>
      <c r="P71" s="66">
        <v>2</v>
      </c>
      <c r="Q71" s="66">
        <v>2.9</v>
      </c>
      <c r="R71" s="66">
        <v>2.2000000000000002</v>
      </c>
      <c r="S71" s="66">
        <v>2.2000000000000002</v>
      </c>
      <c r="T71" s="66">
        <v>2.2000000000000002</v>
      </c>
      <c r="U71" s="66">
        <v>2.2000000000000002</v>
      </c>
      <c r="V71" s="66">
        <v>5.7</v>
      </c>
      <c r="W71" s="66">
        <v>4.8</v>
      </c>
      <c r="X71" s="66">
        <v>6.6</v>
      </c>
      <c r="Y71" s="66">
        <v>11</v>
      </c>
      <c r="Z71" s="66">
        <v>11</v>
      </c>
      <c r="AA71" s="66"/>
      <c r="AB71" s="66"/>
      <c r="AC71" s="66">
        <v>11</v>
      </c>
      <c r="AD71" s="66">
        <v>5.2</v>
      </c>
      <c r="AE71" s="66">
        <v>0</v>
      </c>
      <c r="AF71" s="66">
        <v>0</v>
      </c>
      <c r="AG71" s="67">
        <v>14</v>
      </c>
      <c r="AH71" s="47">
        <f t="shared" si="2"/>
        <v>11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D72" si="7">M69+M70+M71</f>
        <v>33</v>
      </c>
      <c r="N72" s="60">
        <f t="shared" si="7"/>
        <v>19.5</v>
      </c>
      <c r="O72" s="60">
        <f t="shared" si="7"/>
        <v>50.5</v>
      </c>
      <c r="P72" s="60">
        <f t="shared" si="7"/>
        <v>17.399999999999999</v>
      </c>
      <c r="Q72" s="60">
        <f t="shared" si="7"/>
        <v>10.8</v>
      </c>
      <c r="R72" s="60">
        <f t="shared" si="7"/>
        <v>22.099999999999998</v>
      </c>
      <c r="S72" s="60">
        <f>S69+S70+S71</f>
        <v>22.099999999999998</v>
      </c>
      <c r="T72" s="60">
        <f>T69+T70+T71</f>
        <v>22.099999999999998</v>
      </c>
      <c r="U72" s="60">
        <f>U69+U70+U71</f>
        <v>22.099999999999998</v>
      </c>
      <c r="V72" s="60">
        <f t="shared" si="7"/>
        <v>41.400000000000006</v>
      </c>
      <c r="W72" s="60">
        <f t="shared" si="7"/>
        <v>57.9</v>
      </c>
      <c r="X72" s="60">
        <f>X69+X70+X71</f>
        <v>60.800000000000004</v>
      </c>
      <c r="Y72" s="60">
        <f t="shared" si="7"/>
        <v>101.2</v>
      </c>
      <c r="Z72" s="60">
        <f>Z69+Z70+Z71</f>
        <v>101.2</v>
      </c>
      <c r="AA72" s="60">
        <f>AA69+AA70+AA71</f>
        <v>0</v>
      </c>
      <c r="AB72" s="60">
        <f t="shared" si="7"/>
        <v>0</v>
      </c>
      <c r="AC72" s="60">
        <f t="shared" si="7"/>
        <v>101.2</v>
      </c>
      <c r="AD72" s="60">
        <f t="shared" si="7"/>
        <v>39.400000000000006</v>
      </c>
      <c r="AE72" s="60">
        <f>AE69+AE70+AE71</f>
        <v>0</v>
      </c>
      <c r="AF72" s="60">
        <f>AF69+AF70+AF71</f>
        <v>0</v>
      </c>
      <c r="AG72" s="61">
        <f>SUM(AG69:AG71)</f>
        <v>106</v>
      </c>
      <c r="AH72" s="47">
        <f t="shared" si="2"/>
        <v>101.2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-46</v>
      </c>
      <c r="C73" s="45">
        <v>-49</v>
      </c>
      <c r="D73" s="45">
        <v>-51</v>
      </c>
      <c r="E73" s="45">
        <v>-54.3</v>
      </c>
      <c r="F73" s="45">
        <v>-55.5</v>
      </c>
      <c r="G73" s="45">
        <v>-59.5</v>
      </c>
      <c r="H73" s="45">
        <v>-60.7</v>
      </c>
      <c r="I73" s="45">
        <v>-64.2</v>
      </c>
      <c r="J73" s="45">
        <v>-67</v>
      </c>
      <c r="K73" s="45">
        <v>-46.9</v>
      </c>
      <c r="L73" s="45">
        <v>-46.5</v>
      </c>
      <c r="M73" s="45">
        <v>-43.3</v>
      </c>
      <c r="N73" s="45">
        <v>-41.9</v>
      </c>
      <c r="O73" s="45">
        <v>-32</v>
      </c>
      <c r="P73" s="45">
        <v>-28</v>
      </c>
      <c r="Q73" s="45">
        <v>-22.1</v>
      </c>
      <c r="R73" s="45">
        <v>-15.5</v>
      </c>
      <c r="S73" s="45">
        <v>-19.8</v>
      </c>
      <c r="T73" s="45">
        <v>-52</v>
      </c>
      <c r="U73" s="45">
        <v>-57</v>
      </c>
      <c r="V73" s="45">
        <v>-58.3</v>
      </c>
      <c r="W73" s="45">
        <v>-58.6</v>
      </c>
      <c r="X73" s="45">
        <v>-58.2</v>
      </c>
      <c r="Y73" s="45">
        <v>-24.4</v>
      </c>
      <c r="Z73" s="45">
        <v>-1.1000000000000001</v>
      </c>
      <c r="AA73" s="45"/>
      <c r="AB73" s="45"/>
      <c r="AC73" s="45">
        <v>30</v>
      </c>
      <c r="AD73" s="45">
        <v>15</v>
      </c>
      <c r="AE73" s="45">
        <v>-39.799999999999997</v>
      </c>
      <c r="AF73" s="45">
        <v>-43</v>
      </c>
      <c r="AG73" s="51"/>
      <c r="AH73" s="47">
        <f t="shared" si="2"/>
        <v>30</v>
      </c>
      <c r="AI73" s="48">
        <f t="shared" si="3"/>
        <v>-67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/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-400</v>
      </c>
      <c r="C75" s="64">
        <v>-401</v>
      </c>
      <c r="D75" s="64">
        <v>-420</v>
      </c>
      <c r="E75" s="64">
        <v>-429</v>
      </c>
      <c r="F75" s="64">
        <v>-464.5</v>
      </c>
      <c r="G75" s="64">
        <v>-500</v>
      </c>
      <c r="H75" s="64">
        <v>-500</v>
      </c>
      <c r="I75" s="64">
        <v>-520.9</v>
      </c>
      <c r="J75" s="64">
        <v>-527</v>
      </c>
      <c r="K75" s="64">
        <v>-530</v>
      </c>
      <c r="L75" s="64">
        <v>-532.20000000000005</v>
      </c>
      <c r="M75" s="64">
        <v>-542.29999999999995</v>
      </c>
      <c r="N75" s="64">
        <v>-516.1</v>
      </c>
      <c r="O75" s="64">
        <v>-481</v>
      </c>
      <c r="P75" s="64">
        <v>-465.2</v>
      </c>
      <c r="Q75" s="64">
        <v>-481</v>
      </c>
      <c r="R75" s="64">
        <v>-488</v>
      </c>
      <c r="S75" s="64">
        <v>-455</v>
      </c>
      <c r="T75" s="64">
        <v>-474</v>
      </c>
      <c r="U75" s="64">
        <v>-498</v>
      </c>
      <c r="V75" s="64">
        <v>-516.20000000000005</v>
      </c>
      <c r="W75" s="64">
        <v>-492</v>
      </c>
      <c r="X75" s="64">
        <v>-463</v>
      </c>
      <c r="Y75" s="64">
        <v>-446</v>
      </c>
      <c r="Z75" s="64">
        <v>-466.7</v>
      </c>
      <c r="AA75" s="64"/>
      <c r="AB75" s="64"/>
      <c r="AC75" s="64">
        <v>-490</v>
      </c>
      <c r="AD75" s="64">
        <v>-493</v>
      </c>
      <c r="AE75" s="64">
        <v>-510</v>
      </c>
      <c r="AF75" s="64">
        <v>-466</v>
      </c>
      <c r="AG75" s="74"/>
      <c r="AH75" s="47">
        <f t="shared" si="2"/>
        <v>-400</v>
      </c>
      <c r="AI75" s="48">
        <f t="shared" si="3"/>
        <v>-542.29999999999995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/>
      <c r="AC76" s="75"/>
      <c r="AD76" s="64"/>
      <c r="AE76" s="64"/>
      <c r="AF76" s="64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45"/>
      <c r="D78" s="45"/>
      <c r="E78" s="76"/>
      <c r="F78" s="76"/>
      <c r="G78" s="76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/>
      <c r="AC78" s="76">
        <v>5</v>
      </c>
      <c r="AD78" s="76">
        <v>5</v>
      </c>
      <c r="AE78" s="76">
        <v>5</v>
      </c>
      <c r="AF78" s="76">
        <v>0</v>
      </c>
      <c r="AG78" s="74"/>
      <c r="AH78" s="47">
        <f t="shared" si="8"/>
        <v>5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45"/>
      <c r="D79" s="45"/>
      <c r="E79" s="76"/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45"/>
      <c r="D80" s="45"/>
      <c r="E80" s="76"/>
      <c r="F80" s="76"/>
      <c r="G80" s="76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45"/>
      <c r="D81" s="45"/>
      <c r="E81" s="76"/>
      <c r="F81" s="76"/>
      <c r="G81" s="76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45"/>
      <c r="D82" s="45"/>
      <c r="E82" s="76"/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45"/>
      <c r="D83" s="45"/>
      <c r="E83" s="76"/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v>0</v>
      </c>
      <c r="C84" s="60">
        <v>0</v>
      </c>
      <c r="D84" s="60">
        <v>0</v>
      </c>
      <c r="E84" s="60">
        <f t="shared" ref="E84:AD84" si="10">SUMIF(E73:E83,"&gt;0")</f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 t="shared" si="10"/>
        <v>0</v>
      </c>
      <c r="S84" s="60">
        <f>SUMIF(S73:S83,"&gt;0")</f>
        <v>0</v>
      </c>
      <c r="T84" s="60">
        <f>SUMIF(T73:T83,"&gt;0")</f>
        <v>0</v>
      </c>
      <c r="U84" s="60">
        <f>SUMIF(U73:U83,"&gt;0")</f>
        <v>0</v>
      </c>
      <c r="V84" s="60">
        <f t="shared" si="10"/>
        <v>0</v>
      </c>
      <c r="W84" s="60">
        <f t="shared" si="10"/>
        <v>0</v>
      </c>
      <c r="X84" s="60">
        <f>SUMIF(X73:X83,"&gt;0")</f>
        <v>0</v>
      </c>
      <c r="Y84" s="60">
        <f t="shared" si="10"/>
        <v>0</v>
      </c>
      <c r="Z84" s="60">
        <f>SUMIF(Z73:Z83,"&gt;0")</f>
        <v>0</v>
      </c>
      <c r="AA84" s="60">
        <f>SUMIF(AA73:AA83,"&gt;0")</f>
        <v>0</v>
      </c>
      <c r="AB84" s="60">
        <f t="shared" si="10"/>
        <v>0</v>
      </c>
      <c r="AC84" s="60">
        <f t="shared" si="10"/>
        <v>35</v>
      </c>
      <c r="AD84" s="60">
        <f t="shared" si="10"/>
        <v>20</v>
      </c>
      <c r="AE84" s="60">
        <f>SUMIF(AE73:AE83,"&gt;0")</f>
        <v>5</v>
      </c>
      <c r="AF84" s="60">
        <f>SUMIF(AF73:AF83,"&gt;0")</f>
        <v>0</v>
      </c>
      <c r="AG84" s="87">
        <f>SUM(AG73:AG83)</f>
        <v>0</v>
      </c>
      <c r="AH84" s="47">
        <f t="shared" si="8"/>
        <v>35</v>
      </c>
      <c r="AI84" s="48">
        <f t="shared" si="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2064.06</v>
      </c>
      <c r="C89" s="94">
        <f t="shared" si="11"/>
        <v>2064.06</v>
      </c>
      <c r="D89" s="94">
        <f t="shared" si="11"/>
        <v>2064.06</v>
      </c>
      <c r="E89" s="94">
        <f t="shared" si="11"/>
        <v>2064.06</v>
      </c>
      <c r="F89" s="94">
        <f t="shared" si="11"/>
        <v>2064.06</v>
      </c>
      <c r="G89" s="94">
        <f t="shared" si="11"/>
        <v>2064.06</v>
      </c>
      <c r="H89" s="94">
        <f t="shared" si="11"/>
        <v>2064.06</v>
      </c>
      <c r="I89" s="94">
        <f t="shared" si="11"/>
        <v>2069.06</v>
      </c>
      <c r="J89" s="94">
        <f t="shared" si="11"/>
        <v>2069.06</v>
      </c>
      <c r="K89" s="94">
        <f t="shared" si="11"/>
        <v>2071.06</v>
      </c>
      <c r="L89" s="94">
        <f t="shared" si="11"/>
        <v>2128.06</v>
      </c>
      <c r="M89" s="94">
        <f t="shared" si="11"/>
        <v>2195.56</v>
      </c>
      <c r="N89" s="94">
        <f t="shared" si="11"/>
        <v>2178.06</v>
      </c>
      <c r="O89" s="94">
        <f t="shared" si="11"/>
        <v>2204.66</v>
      </c>
      <c r="P89" s="94">
        <f t="shared" si="11"/>
        <v>2171.56</v>
      </c>
      <c r="Q89" s="94">
        <f t="shared" si="11"/>
        <v>2166.7599999999998</v>
      </c>
      <c r="R89" s="94">
        <f t="shared" si="11"/>
        <v>2175.7599999999998</v>
      </c>
      <c r="S89" s="94">
        <f>S50+S54+S72+S68+S84+S88</f>
        <v>2169.7599999999998</v>
      </c>
      <c r="T89" s="94">
        <f>T50+T54+T72+T68+T84+T88</f>
        <v>2189.3599999999997</v>
      </c>
      <c r="U89" s="94">
        <f>U50+U54+U72+U68+U84+U88</f>
        <v>2183.3599999999997</v>
      </c>
      <c r="V89" s="94">
        <f t="shared" si="11"/>
        <v>2201.56</v>
      </c>
      <c r="W89" s="94">
        <f t="shared" si="11"/>
        <v>2216.3599999999997</v>
      </c>
      <c r="X89" s="94">
        <f>X50+X54+X72+X68+X84+X88</f>
        <v>2213.2599999999998</v>
      </c>
      <c r="Y89" s="94">
        <f t="shared" si="11"/>
        <v>2270.66</v>
      </c>
      <c r="Z89" s="94">
        <f>Z50+Z54+Z72+Z68+Z84+Z88</f>
        <v>2273.2599999999998</v>
      </c>
      <c r="AA89" s="94">
        <f>AA50+AA54+AA72+AA68+AA84+AA88</f>
        <v>2172.0599999999995</v>
      </c>
      <c r="AB89" s="94">
        <f t="shared" si="11"/>
        <v>3.54</v>
      </c>
      <c r="AC89" s="94">
        <f t="shared" si="11"/>
        <v>2251.94</v>
      </c>
      <c r="AD89" s="94">
        <f t="shared" si="11"/>
        <v>2174.64</v>
      </c>
      <c r="AE89" s="94">
        <f>AE50+AE54+AE72+AE68+AE84+AE88</f>
        <v>2138.34</v>
      </c>
      <c r="AF89" s="94">
        <f>AF50+AF54+AF72+AF68+AF84+AF88</f>
        <v>2133.84</v>
      </c>
      <c r="AG89" s="61">
        <f t="shared" si="11"/>
        <v>2111.5500000000002</v>
      </c>
      <c r="AH89" s="47">
        <f t="shared" si="8"/>
        <v>2273.2599999999998</v>
      </c>
      <c r="AI89" s="48">
        <f t="shared" si="9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D91" si="12">B89+B90</f>
        <v>2064.06</v>
      </c>
      <c r="C91" s="94">
        <f t="shared" si="12"/>
        <v>2064.06</v>
      </c>
      <c r="D91" s="94">
        <f t="shared" si="12"/>
        <v>2064.06</v>
      </c>
      <c r="E91" s="94">
        <f t="shared" si="12"/>
        <v>2064.06</v>
      </c>
      <c r="F91" s="94">
        <f t="shared" si="12"/>
        <v>2064.06</v>
      </c>
      <c r="G91" s="94">
        <f t="shared" si="12"/>
        <v>2064.06</v>
      </c>
      <c r="H91" s="94">
        <f t="shared" si="12"/>
        <v>2064.06</v>
      </c>
      <c r="I91" s="94">
        <f t="shared" si="12"/>
        <v>2069.06</v>
      </c>
      <c r="J91" s="94">
        <f t="shared" si="12"/>
        <v>2069.06</v>
      </c>
      <c r="K91" s="94">
        <f t="shared" si="12"/>
        <v>2071.06</v>
      </c>
      <c r="L91" s="94">
        <f t="shared" si="12"/>
        <v>2128.06</v>
      </c>
      <c r="M91" s="94">
        <f t="shared" si="12"/>
        <v>2195.56</v>
      </c>
      <c r="N91" s="94">
        <f t="shared" si="12"/>
        <v>2178.06</v>
      </c>
      <c r="O91" s="94">
        <f t="shared" si="12"/>
        <v>2204.66</v>
      </c>
      <c r="P91" s="94">
        <f t="shared" si="12"/>
        <v>2171.56</v>
      </c>
      <c r="Q91" s="94">
        <f t="shared" si="12"/>
        <v>2166.7599999999998</v>
      </c>
      <c r="R91" s="94">
        <f t="shared" si="12"/>
        <v>2175.7599999999998</v>
      </c>
      <c r="S91" s="94">
        <f>S89+S90</f>
        <v>2169.7599999999998</v>
      </c>
      <c r="T91" s="94">
        <f>T89+T90</f>
        <v>2189.3599999999997</v>
      </c>
      <c r="U91" s="94">
        <f>U89+U90</f>
        <v>2183.3599999999997</v>
      </c>
      <c r="V91" s="94">
        <f t="shared" si="12"/>
        <v>2201.56</v>
      </c>
      <c r="W91" s="94">
        <f t="shared" si="12"/>
        <v>2216.3599999999997</v>
      </c>
      <c r="X91" s="94">
        <f>X89+X90</f>
        <v>2213.2599999999998</v>
      </c>
      <c r="Y91" s="94">
        <f t="shared" si="12"/>
        <v>2270.66</v>
      </c>
      <c r="Z91" s="94">
        <f>Z89+Z90</f>
        <v>2273.2599999999998</v>
      </c>
      <c r="AA91" s="94">
        <f>AA89+AA90</f>
        <v>2172.0599999999995</v>
      </c>
      <c r="AB91" s="94">
        <f t="shared" si="12"/>
        <v>3.54</v>
      </c>
      <c r="AC91" s="94">
        <f t="shared" si="12"/>
        <v>2251.94</v>
      </c>
      <c r="AD91" s="94">
        <f t="shared" si="12"/>
        <v>2174.64</v>
      </c>
      <c r="AE91" s="94">
        <f>AE89+AE90</f>
        <v>2138.34</v>
      </c>
      <c r="AF91" s="94">
        <f>AF89+AF90</f>
        <v>2133.84</v>
      </c>
      <c r="AG91" s="87">
        <f>AG88+AG84+AG72+AG68+AG50+AG90</f>
        <v>1573.45</v>
      </c>
      <c r="AH91" s="47">
        <f t="shared" si="8"/>
        <v>2273.2599999999998</v>
      </c>
      <c r="AI91" s="48">
        <f t="shared" si="9"/>
        <v>3.54</v>
      </c>
    </row>
    <row r="92" spans="1:40" ht="15.75" thickBot="1" x14ac:dyDescent="0.3">
      <c r="A92" s="73" t="s">
        <v>103</v>
      </c>
      <c r="B92" s="94">
        <v>1634.06</v>
      </c>
      <c r="C92" s="94">
        <v>1634.06</v>
      </c>
      <c r="D92" s="94">
        <v>1634.06</v>
      </c>
      <c r="E92" s="94">
        <f t="shared" ref="E92:AD92" si="13">E91-(-E99)</f>
        <v>1635.06</v>
      </c>
      <c r="F92" s="94">
        <f t="shared" si="13"/>
        <v>1599.56</v>
      </c>
      <c r="G92" s="94">
        <f t="shared" si="13"/>
        <v>1564.06</v>
      </c>
      <c r="H92" s="94">
        <f t="shared" si="13"/>
        <v>1564.06</v>
      </c>
      <c r="I92" s="94">
        <f t="shared" si="13"/>
        <v>1548.1599999999999</v>
      </c>
      <c r="J92" s="94">
        <f t="shared" si="13"/>
        <v>1542.06</v>
      </c>
      <c r="K92" s="94">
        <f t="shared" si="13"/>
        <v>1541.06</v>
      </c>
      <c r="L92" s="94">
        <f t="shared" si="13"/>
        <v>1595.86</v>
      </c>
      <c r="M92" s="94">
        <f t="shared" si="13"/>
        <v>1653.26</v>
      </c>
      <c r="N92" s="94">
        <f t="shared" si="13"/>
        <v>1661.96</v>
      </c>
      <c r="O92" s="94">
        <f t="shared" si="13"/>
        <v>1723.6599999999999</v>
      </c>
      <c r="P92" s="94">
        <f t="shared" si="13"/>
        <v>1706.36</v>
      </c>
      <c r="Q92" s="94">
        <f t="shared" si="13"/>
        <v>1685.7599999999998</v>
      </c>
      <c r="R92" s="94">
        <f t="shared" si="13"/>
        <v>1687.7599999999998</v>
      </c>
      <c r="S92" s="94">
        <f>S91-(-S99)</f>
        <v>1714.7599999999998</v>
      </c>
      <c r="T92" s="94">
        <f>T91-(-T99)</f>
        <v>1715.3599999999997</v>
      </c>
      <c r="U92" s="94">
        <f>U91-(-U99)</f>
        <v>1685.3599999999997</v>
      </c>
      <c r="V92" s="94">
        <f t="shared" si="13"/>
        <v>1685.36</v>
      </c>
      <c r="W92" s="94">
        <f t="shared" si="13"/>
        <v>1724.3599999999997</v>
      </c>
      <c r="X92" s="94">
        <f>X91-(-X99)</f>
        <v>1750.2599999999998</v>
      </c>
      <c r="Y92" s="94">
        <f t="shared" si="13"/>
        <v>1824.6599999999999</v>
      </c>
      <c r="Z92" s="94">
        <f>Z91-(-Z99)</f>
        <v>1806.5599999999997</v>
      </c>
      <c r="AA92" s="94">
        <f>AA91-(-AA99)</f>
        <v>2172.0599999999995</v>
      </c>
      <c r="AB92" s="94">
        <f t="shared" si="13"/>
        <v>3.54</v>
      </c>
      <c r="AC92" s="94">
        <f t="shared" si="13"/>
        <v>1761.94</v>
      </c>
      <c r="AD92" s="94">
        <f t="shared" si="13"/>
        <v>1681.6399999999999</v>
      </c>
      <c r="AE92" s="94">
        <f>AE91-(-AE99)</f>
        <v>1628.3400000000001</v>
      </c>
      <c r="AF92" s="94">
        <f>AF91-(-AF99)</f>
        <v>1667.8400000000001</v>
      </c>
      <c r="AG92" s="87"/>
      <c r="AH92" s="47">
        <f t="shared" si="8"/>
        <v>2172.0599999999995</v>
      </c>
      <c r="AI92" s="48">
        <f t="shared" si="9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v>-430</v>
      </c>
      <c r="C99" s="60">
        <v>-430</v>
      </c>
      <c r="D99" s="60">
        <v>-430</v>
      </c>
      <c r="E99" s="60">
        <f t="shared" ref="E99:AD99" si="14">E75</f>
        <v>-429</v>
      </c>
      <c r="F99" s="60">
        <f t="shared" si="14"/>
        <v>-464.5</v>
      </c>
      <c r="G99" s="60">
        <f t="shared" si="14"/>
        <v>-500</v>
      </c>
      <c r="H99" s="60">
        <f t="shared" si="14"/>
        <v>-500</v>
      </c>
      <c r="I99" s="60">
        <f t="shared" si="14"/>
        <v>-520.9</v>
      </c>
      <c r="J99" s="60">
        <f t="shared" si="14"/>
        <v>-527</v>
      </c>
      <c r="K99" s="60">
        <f t="shared" si="14"/>
        <v>-530</v>
      </c>
      <c r="L99" s="60">
        <f t="shared" si="14"/>
        <v>-532.20000000000005</v>
      </c>
      <c r="M99" s="60">
        <f t="shared" si="14"/>
        <v>-542.29999999999995</v>
      </c>
      <c r="N99" s="60">
        <f t="shared" si="14"/>
        <v>-516.1</v>
      </c>
      <c r="O99" s="60">
        <f t="shared" si="14"/>
        <v>-481</v>
      </c>
      <c r="P99" s="60">
        <f t="shared" si="14"/>
        <v>-465.2</v>
      </c>
      <c r="Q99" s="60">
        <f t="shared" si="14"/>
        <v>-481</v>
      </c>
      <c r="R99" s="60">
        <f t="shared" si="14"/>
        <v>-488</v>
      </c>
      <c r="S99" s="60">
        <f>S75</f>
        <v>-455</v>
      </c>
      <c r="T99" s="60">
        <f>T75</f>
        <v>-474</v>
      </c>
      <c r="U99" s="60">
        <f>U75</f>
        <v>-498</v>
      </c>
      <c r="V99" s="60">
        <f t="shared" si="14"/>
        <v>-516.20000000000005</v>
      </c>
      <c r="W99" s="60">
        <f t="shared" si="14"/>
        <v>-492</v>
      </c>
      <c r="X99" s="60">
        <f>X75</f>
        <v>-463</v>
      </c>
      <c r="Y99" s="60">
        <f t="shared" si="14"/>
        <v>-446</v>
      </c>
      <c r="Z99" s="60">
        <f>Z75</f>
        <v>-466.7</v>
      </c>
      <c r="AA99" s="60">
        <f>AA75</f>
        <v>0</v>
      </c>
      <c r="AB99" s="60">
        <f t="shared" si="14"/>
        <v>0</v>
      </c>
      <c r="AC99" s="60">
        <f t="shared" si="14"/>
        <v>-490</v>
      </c>
      <c r="AD99" s="60">
        <f t="shared" si="14"/>
        <v>-493</v>
      </c>
      <c r="AE99" s="60">
        <f>AE75</f>
        <v>-510</v>
      </c>
      <c r="AF99" s="60">
        <f>AF75</f>
        <v>-466</v>
      </c>
      <c r="AG99" s="87"/>
      <c r="AH99" s="47">
        <f t="shared" si="8"/>
        <v>0</v>
      </c>
      <c r="AI99" s="48">
        <f t="shared" si="9"/>
        <v>-542.29999999999995</v>
      </c>
      <c r="AK99" s="50"/>
    </row>
    <row r="100" spans="1:37" ht="15.75" thickBot="1" x14ac:dyDescent="0.3">
      <c r="A100" s="73" t="s">
        <v>108</v>
      </c>
      <c r="B100" s="60">
        <v>430</v>
      </c>
      <c r="C100" s="60">
        <v>430</v>
      </c>
      <c r="D100" s="60">
        <v>430</v>
      </c>
      <c r="E100" s="60">
        <f t="shared" ref="E100:AD100" si="15">E84-E99</f>
        <v>429</v>
      </c>
      <c r="F100" s="60">
        <f t="shared" si="15"/>
        <v>464.5</v>
      </c>
      <c r="G100" s="60">
        <f t="shared" si="15"/>
        <v>500</v>
      </c>
      <c r="H100" s="60">
        <f t="shared" si="15"/>
        <v>500</v>
      </c>
      <c r="I100" s="60">
        <f t="shared" si="15"/>
        <v>520.9</v>
      </c>
      <c r="J100" s="60">
        <f t="shared" si="15"/>
        <v>527</v>
      </c>
      <c r="K100" s="60">
        <f t="shared" si="15"/>
        <v>530</v>
      </c>
      <c r="L100" s="60">
        <f t="shared" si="15"/>
        <v>532.20000000000005</v>
      </c>
      <c r="M100" s="60">
        <f t="shared" si="15"/>
        <v>542.29999999999995</v>
      </c>
      <c r="N100" s="60">
        <f t="shared" si="15"/>
        <v>516.1</v>
      </c>
      <c r="O100" s="60">
        <f t="shared" si="15"/>
        <v>481</v>
      </c>
      <c r="P100" s="60">
        <f t="shared" si="15"/>
        <v>465.2</v>
      </c>
      <c r="Q100" s="60">
        <f t="shared" si="15"/>
        <v>481</v>
      </c>
      <c r="R100" s="60">
        <f t="shared" si="15"/>
        <v>488</v>
      </c>
      <c r="S100" s="60">
        <f>S84-S99</f>
        <v>455</v>
      </c>
      <c r="T100" s="60">
        <f>T84-T99</f>
        <v>474</v>
      </c>
      <c r="U100" s="60">
        <f>U84-U99</f>
        <v>498</v>
      </c>
      <c r="V100" s="60">
        <f t="shared" si="15"/>
        <v>516.20000000000005</v>
      </c>
      <c r="W100" s="60">
        <f t="shared" si="15"/>
        <v>492</v>
      </c>
      <c r="X100" s="60">
        <f>X84-X99</f>
        <v>463</v>
      </c>
      <c r="Y100" s="60">
        <f t="shared" si="15"/>
        <v>446</v>
      </c>
      <c r="Z100" s="60">
        <f>Z84-Z99</f>
        <v>466.7</v>
      </c>
      <c r="AA100" s="60">
        <f>AA84-AA99</f>
        <v>0</v>
      </c>
      <c r="AB100" s="60">
        <f t="shared" si="15"/>
        <v>0</v>
      </c>
      <c r="AC100" s="60">
        <f t="shared" si="15"/>
        <v>525</v>
      </c>
      <c r="AD100" s="60">
        <f t="shared" si="15"/>
        <v>513</v>
      </c>
      <c r="AE100" s="60">
        <f>AE84-AE99</f>
        <v>515</v>
      </c>
      <c r="AF100" s="60">
        <f>AF84-AF99</f>
        <v>466</v>
      </c>
      <c r="AG100" s="87"/>
      <c r="AH100" s="47">
        <f t="shared" si="8"/>
        <v>542.29999999999995</v>
      </c>
      <c r="AI100" s="48">
        <f t="shared" si="9"/>
        <v>0</v>
      </c>
    </row>
    <row r="101" spans="1:37" x14ac:dyDescent="0.25">
      <c r="A101" s="99" t="s">
        <v>109</v>
      </c>
      <c r="B101" s="100">
        <v>49.95</v>
      </c>
      <c r="C101" s="100">
        <v>49.93</v>
      </c>
      <c r="D101" s="100">
        <v>50.02</v>
      </c>
      <c r="E101" s="100">
        <v>49.91</v>
      </c>
      <c r="F101" s="100">
        <v>50.024999999999999</v>
      </c>
      <c r="G101" s="100">
        <v>50.002000000000002</v>
      </c>
      <c r="H101" s="100">
        <v>49.91</v>
      </c>
      <c r="I101" s="100">
        <v>50</v>
      </c>
      <c r="J101" s="100">
        <v>49.86</v>
      </c>
      <c r="K101" s="100">
        <v>49.85</v>
      </c>
      <c r="L101" s="100">
        <v>50.029000000000003</v>
      </c>
      <c r="M101" s="100">
        <v>49.963000000000001</v>
      </c>
      <c r="N101" s="100">
        <v>50.057000000000002</v>
      </c>
      <c r="O101" s="100">
        <v>49.951000000000001</v>
      </c>
      <c r="P101" s="100">
        <v>49.984000000000002</v>
      </c>
      <c r="Q101" s="100">
        <v>50</v>
      </c>
      <c r="R101" s="100">
        <v>50.124000000000002</v>
      </c>
      <c r="S101" s="100">
        <v>49.926000000000002</v>
      </c>
      <c r="T101" s="100">
        <v>50.067999999999998</v>
      </c>
      <c r="U101" s="100">
        <v>50.067999999999998</v>
      </c>
      <c r="V101" s="100">
        <v>49.948999999999998</v>
      </c>
      <c r="W101" s="100">
        <v>50.012</v>
      </c>
      <c r="X101" s="100">
        <v>50.012</v>
      </c>
      <c r="Y101" s="100">
        <v>49.965000000000003</v>
      </c>
      <c r="Z101" s="100">
        <v>49.872</v>
      </c>
      <c r="AA101" s="100"/>
      <c r="AB101" s="100"/>
      <c r="AC101" s="100">
        <v>50</v>
      </c>
      <c r="AD101" s="100">
        <v>49.99</v>
      </c>
      <c r="AE101" s="100">
        <v>49.94</v>
      </c>
      <c r="AF101" s="100">
        <v>50.01</v>
      </c>
      <c r="AG101" s="101"/>
      <c r="AH101" s="47">
        <f t="shared" si="8"/>
        <v>50.124000000000002</v>
      </c>
      <c r="AI101" s="48">
        <f t="shared" si="9"/>
        <v>49.85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130</v>
      </c>
      <c r="C103" s="64">
        <v>130</v>
      </c>
      <c r="D103" s="64">
        <v>130</v>
      </c>
      <c r="E103" s="64">
        <v>130</v>
      </c>
      <c r="F103" s="64">
        <v>130</v>
      </c>
      <c r="G103" s="64">
        <v>130</v>
      </c>
      <c r="H103" s="64">
        <v>130</v>
      </c>
      <c r="I103" s="64">
        <v>130</v>
      </c>
      <c r="J103" s="64">
        <v>130</v>
      </c>
      <c r="K103" s="64">
        <v>130</v>
      </c>
      <c r="L103" s="64">
        <v>130</v>
      </c>
      <c r="M103" s="64">
        <v>126.1</v>
      </c>
      <c r="N103" s="64">
        <v>125.7</v>
      </c>
      <c r="O103" s="64">
        <v>125.2</v>
      </c>
      <c r="P103" s="64">
        <v>123.9</v>
      </c>
      <c r="Q103" s="64">
        <v>124.2</v>
      </c>
      <c r="R103" s="64">
        <v>125.8</v>
      </c>
      <c r="S103" s="64">
        <v>127.3</v>
      </c>
      <c r="T103" s="64">
        <v>127</v>
      </c>
      <c r="U103" s="64">
        <v>127</v>
      </c>
      <c r="V103" s="64">
        <v>127.5</v>
      </c>
      <c r="W103" s="64">
        <v>127.3</v>
      </c>
      <c r="X103" s="64">
        <v>127.3</v>
      </c>
      <c r="Y103" s="64">
        <v>127.5</v>
      </c>
      <c r="Z103" s="64">
        <v>128.80000000000001</v>
      </c>
      <c r="AA103" s="64"/>
      <c r="AB103" s="64"/>
      <c r="AC103" s="64">
        <v>127</v>
      </c>
      <c r="AD103" s="64">
        <v>127.1</v>
      </c>
      <c r="AE103" s="64">
        <v>129.9</v>
      </c>
      <c r="AF103" s="64">
        <v>128.69999999999999</v>
      </c>
      <c r="AG103" s="103"/>
      <c r="AH103" s="47">
        <f t="shared" si="8"/>
        <v>130</v>
      </c>
      <c r="AI103" s="48">
        <f t="shared" si="9"/>
        <v>123.9</v>
      </c>
    </row>
    <row r="104" spans="1:37" x14ac:dyDescent="0.25">
      <c r="A104" s="102" t="s">
        <v>112</v>
      </c>
      <c r="B104" s="64">
        <v>130.6</v>
      </c>
      <c r="C104" s="64">
        <v>130.6</v>
      </c>
      <c r="D104" s="64">
        <v>130.6</v>
      </c>
      <c r="E104" s="64">
        <v>130.6</v>
      </c>
      <c r="F104" s="64">
        <v>130.6</v>
      </c>
      <c r="G104" s="64">
        <v>130.6</v>
      </c>
      <c r="H104" s="64">
        <v>130.6</v>
      </c>
      <c r="I104" s="64">
        <v>130.6</v>
      </c>
      <c r="J104" s="64">
        <v>130.6</v>
      </c>
      <c r="K104" s="64">
        <v>130.6</v>
      </c>
      <c r="L104" s="64">
        <v>130.6</v>
      </c>
      <c r="M104" s="64">
        <v>125.3</v>
      </c>
      <c r="N104" s="64">
        <v>126.6</v>
      </c>
      <c r="O104" s="64">
        <v>125.2</v>
      </c>
      <c r="P104" s="64">
        <v>122.8</v>
      </c>
      <c r="Q104" s="64">
        <v>127.4</v>
      </c>
      <c r="R104" s="64">
        <v>128</v>
      </c>
      <c r="S104" s="64">
        <v>125.9</v>
      </c>
      <c r="T104" s="64">
        <v>126.8</v>
      </c>
      <c r="U104" s="64">
        <v>126.8</v>
      </c>
      <c r="V104" s="64">
        <v>128.19999999999999</v>
      </c>
      <c r="W104" s="64">
        <v>128.1</v>
      </c>
      <c r="X104" s="64">
        <v>128.1</v>
      </c>
      <c r="Y104" s="64">
        <v>126.3</v>
      </c>
      <c r="Z104" s="64">
        <v>128.19999999999999</v>
      </c>
      <c r="AA104" s="64"/>
      <c r="AB104" s="64"/>
      <c r="AC104" s="64">
        <v>125.5</v>
      </c>
      <c r="AD104" s="64">
        <v>126.8</v>
      </c>
      <c r="AE104" s="64">
        <v>129.5</v>
      </c>
      <c r="AF104" s="64">
        <v>130.6</v>
      </c>
      <c r="AG104" s="103"/>
      <c r="AH104" s="47">
        <f t="shared" si="8"/>
        <v>130.6</v>
      </c>
      <c r="AI104" s="48">
        <f t="shared" si="9"/>
        <v>122.8</v>
      </c>
    </row>
    <row r="105" spans="1:37" x14ac:dyDescent="0.25">
      <c r="A105" s="104" t="s">
        <v>113</v>
      </c>
      <c r="B105" s="64">
        <v>134</v>
      </c>
      <c r="C105" s="64">
        <v>134</v>
      </c>
      <c r="D105" s="64">
        <v>134</v>
      </c>
      <c r="E105" s="64">
        <v>134</v>
      </c>
      <c r="F105" s="64">
        <v>134</v>
      </c>
      <c r="G105" s="64">
        <v>134</v>
      </c>
      <c r="H105" s="64">
        <v>134</v>
      </c>
      <c r="I105" s="64">
        <v>134</v>
      </c>
      <c r="J105" s="64">
        <v>134</v>
      </c>
      <c r="K105" s="64">
        <v>134</v>
      </c>
      <c r="L105" s="64">
        <v>134</v>
      </c>
      <c r="M105" s="64">
        <v>126.8</v>
      </c>
      <c r="N105" s="64">
        <v>128.5</v>
      </c>
      <c r="O105" s="64">
        <v>128.80000000000001</v>
      </c>
      <c r="P105" s="64">
        <v>125.5</v>
      </c>
      <c r="Q105" s="64">
        <v>130</v>
      </c>
      <c r="R105" s="64">
        <v>131.69999999999999</v>
      </c>
      <c r="S105" s="64">
        <v>128.5</v>
      </c>
      <c r="T105" s="64">
        <v>129.1</v>
      </c>
      <c r="U105" s="64">
        <v>129.1</v>
      </c>
      <c r="V105" s="64">
        <v>130.69999999999999</v>
      </c>
      <c r="W105" s="64">
        <v>130.9</v>
      </c>
      <c r="X105" s="64">
        <v>130.9</v>
      </c>
      <c r="Y105" s="64">
        <v>128.19999999999999</v>
      </c>
      <c r="Z105" s="64">
        <v>130.19999999999999</v>
      </c>
      <c r="AA105" s="64"/>
      <c r="AB105" s="64"/>
      <c r="AC105" s="64">
        <v>130</v>
      </c>
      <c r="AD105" s="64">
        <v>131.1</v>
      </c>
      <c r="AE105" s="64">
        <v>133.1</v>
      </c>
      <c r="AF105" s="64">
        <v>134.30000000000001</v>
      </c>
      <c r="AG105" s="103"/>
      <c r="AH105" s="47">
        <f t="shared" si="8"/>
        <v>134.30000000000001</v>
      </c>
      <c r="AI105" s="48">
        <f t="shared" si="9"/>
        <v>125.5</v>
      </c>
    </row>
    <row r="106" spans="1:37" x14ac:dyDescent="0.25">
      <c r="A106" s="104" t="s">
        <v>114</v>
      </c>
      <c r="B106" s="105">
        <v>132</v>
      </c>
      <c r="C106" s="105">
        <v>132</v>
      </c>
      <c r="D106" s="105">
        <v>132</v>
      </c>
      <c r="E106" s="105">
        <v>132</v>
      </c>
      <c r="F106" s="105">
        <v>132</v>
      </c>
      <c r="G106" s="105">
        <v>132</v>
      </c>
      <c r="H106" s="105">
        <v>132</v>
      </c>
      <c r="I106" s="105">
        <v>132</v>
      </c>
      <c r="J106" s="105">
        <v>132</v>
      </c>
      <c r="K106" s="105">
        <v>132</v>
      </c>
      <c r="L106" s="105">
        <v>132</v>
      </c>
      <c r="M106" s="105">
        <v>132.4</v>
      </c>
      <c r="N106" s="105">
        <v>131.69999999999999</v>
      </c>
      <c r="O106" s="105">
        <v>131.9</v>
      </c>
      <c r="P106" s="105">
        <v>131.80000000000001</v>
      </c>
      <c r="Q106" s="105">
        <v>133.6</v>
      </c>
      <c r="R106" s="105">
        <v>132.80000000000001</v>
      </c>
      <c r="S106" s="105">
        <v>133.19999999999999</v>
      </c>
      <c r="T106" s="105">
        <v>132.4</v>
      </c>
      <c r="U106" s="105">
        <v>132.4</v>
      </c>
      <c r="V106" s="105">
        <v>133.9</v>
      </c>
      <c r="W106" s="105">
        <v>134.1</v>
      </c>
      <c r="X106" s="105">
        <v>134.1</v>
      </c>
      <c r="Y106" s="105">
        <v>135.6</v>
      </c>
      <c r="Z106" s="105">
        <v>132.9</v>
      </c>
      <c r="AA106" s="105"/>
      <c r="AB106" s="105"/>
      <c r="AC106" s="105">
        <v>135.69999999999999</v>
      </c>
      <c r="AD106" s="105">
        <v>131.69999999999999</v>
      </c>
      <c r="AE106" s="105">
        <v>130.9</v>
      </c>
      <c r="AF106" s="105">
        <v>131.9</v>
      </c>
      <c r="AG106" s="106"/>
      <c r="AH106" s="47">
        <f t="shared" si="8"/>
        <v>135.69999999999999</v>
      </c>
      <c r="AI106" s="48">
        <f t="shared" si="9"/>
        <v>130.9</v>
      </c>
    </row>
    <row r="107" spans="1:37" x14ac:dyDescent="0.25">
      <c r="A107" s="102" t="s">
        <v>115</v>
      </c>
      <c r="B107" s="64">
        <v>129</v>
      </c>
      <c r="C107" s="64">
        <v>129</v>
      </c>
      <c r="D107" s="64">
        <v>129</v>
      </c>
      <c r="E107" s="64">
        <v>129</v>
      </c>
      <c r="F107" s="64">
        <v>129</v>
      </c>
      <c r="G107" s="64">
        <v>129</v>
      </c>
      <c r="H107" s="64">
        <v>129</v>
      </c>
      <c r="I107" s="64">
        <v>129</v>
      </c>
      <c r="J107" s="64">
        <v>129</v>
      </c>
      <c r="K107" s="64">
        <v>129</v>
      </c>
      <c r="L107" s="64">
        <v>129</v>
      </c>
      <c r="M107" s="64">
        <v>129.1</v>
      </c>
      <c r="N107" s="64">
        <v>132.5</v>
      </c>
      <c r="O107" s="64">
        <v>133.30000000000001</v>
      </c>
      <c r="P107" s="64">
        <v>131.1</v>
      </c>
      <c r="Q107" s="64">
        <v>134</v>
      </c>
      <c r="R107" s="64">
        <v>133.5</v>
      </c>
      <c r="S107" s="64">
        <v>134.4</v>
      </c>
      <c r="T107" s="64">
        <v>130.9</v>
      </c>
      <c r="U107" s="64">
        <v>130.9</v>
      </c>
      <c r="V107" s="64">
        <v>134.19999999999999</v>
      </c>
      <c r="W107" s="64">
        <v>135.69999999999999</v>
      </c>
      <c r="X107" s="64">
        <v>135.69999999999999</v>
      </c>
      <c r="Y107" s="64">
        <v>125.8</v>
      </c>
      <c r="Z107" s="64">
        <v>124.3</v>
      </c>
      <c r="AA107" s="64"/>
      <c r="AB107" s="64"/>
      <c r="AC107" s="64">
        <v>133.6</v>
      </c>
      <c r="AD107" s="64">
        <v>129.4</v>
      </c>
      <c r="AE107" s="64">
        <v>127.3</v>
      </c>
      <c r="AF107" s="64">
        <v>130.1</v>
      </c>
      <c r="AG107" s="103"/>
      <c r="AH107" s="47">
        <f t="shared" si="8"/>
        <v>135.69999999999999</v>
      </c>
      <c r="AI107" s="48">
        <f t="shared" si="9"/>
        <v>124.3</v>
      </c>
    </row>
    <row r="108" spans="1:37" ht="15.75" thickBot="1" x14ac:dyDescent="0.3">
      <c r="A108" s="102" t="s">
        <v>116</v>
      </c>
      <c r="B108" s="91">
        <v>64.8</v>
      </c>
      <c r="C108" s="91">
        <v>64.8</v>
      </c>
      <c r="D108" s="91">
        <v>64.8</v>
      </c>
      <c r="E108" s="91">
        <v>64.8</v>
      </c>
      <c r="F108" s="91">
        <v>64.8</v>
      </c>
      <c r="G108" s="91">
        <v>64.8</v>
      </c>
      <c r="H108" s="91">
        <v>64.8</v>
      </c>
      <c r="I108" s="91">
        <v>64.8</v>
      </c>
      <c r="J108" s="91">
        <v>64.8</v>
      </c>
      <c r="K108" s="91">
        <v>64.8</v>
      </c>
      <c r="L108" s="91">
        <v>64.8</v>
      </c>
      <c r="M108" s="91">
        <v>63.7</v>
      </c>
      <c r="N108" s="91">
        <v>63.4</v>
      </c>
      <c r="O108" s="91">
        <v>62.8</v>
      </c>
      <c r="P108" s="91">
        <v>62.2</v>
      </c>
      <c r="Q108" s="91">
        <v>62.2</v>
      </c>
      <c r="R108" s="91">
        <v>63</v>
      </c>
      <c r="S108" s="91">
        <v>63.7</v>
      </c>
      <c r="T108" s="91">
        <v>63.8</v>
      </c>
      <c r="U108" s="91">
        <v>63.8</v>
      </c>
      <c r="V108" s="91">
        <v>64.099999999999994</v>
      </c>
      <c r="W108" s="91">
        <v>64</v>
      </c>
      <c r="X108" s="91">
        <v>64</v>
      </c>
      <c r="Y108" s="91">
        <v>64.400000000000006</v>
      </c>
      <c r="Z108" s="91">
        <v>64.900000000000006</v>
      </c>
      <c r="AA108" s="91"/>
      <c r="AB108" s="91"/>
      <c r="AC108" s="91">
        <v>64.099999999999994</v>
      </c>
      <c r="AD108" s="91">
        <v>64.099999999999994</v>
      </c>
      <c r="AE108" s="91">
        <v>65.599999999999994</v>
      </c>
      <c r="AF108" s="91">
        <v>64.7</v>
      </c>
      <c r="AG108" s="107"/>
      <c r="AH108" s="47">
        <f t="shared" si="8"/>
        <v>65.599999999999994</v>
      </c>
      <c r="AI108" s="48">
        <f t="shared" si="9"/>
        <v>62.2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v>70.599999999999994</v>
      </c>
      <c r="C110" s="110">
        <v>70.599999999999994</v>
      </c>
      <c r="D110" s="110">
        <v>70.599999999999994</v>
      </c>
      <c r="E110" s="110">
        <f t="shared" ref="E110:O110" si="16">SUM(E20,E26,E29:E30,E58,E60:E61,E63,E65,E111:E115,E138,E144,E150,E159,E161,E173,E180,E183:E184,E191,E193,E195,E199:E201,E203:E205,E210,E216:E217,E219:E221,E229,E234)</f>
        <v>26.540000000000003</v>
      </c>
      <c r="F110" s="110">
        <f t="shared" si="16"/>
        <v>31.040000000000013</v>
      </c>
      <c r="G110" s="110">
        <f t="shared" si="16"/>
        <v>49.939999999999984</v>
      </c>
      <c r="H110" s="110">
        <f t="shared" si="16"/>
        <v>79.940000000000012</v>
      </c>
      <c r="I110" s="110">
        <f t="shared" si="16"/>
        <v>79.940000000000012</v>
      </c>
      <c r="J110" s="110">
        <f t="shared" si="16"/>
        <v>175.54000000000002</v>
      </c>
      <c r="K110" s="110">
        <f t="shared" si="16"/>
        <v>178.43999999999997</v>
      </c>
      <c r="L110" s="110">
        <f t="shared" si="16"/>
        <v>198.03999999999996</v>
      </c>
      <c r="M110" s="110">
        <f t="shared" si="16"/>
        <v>202.94</v>
      </c>
      <c r="N110" s="110">
        <f t="shared" si="16"/>
        <v>173.54000000000002</v>
      </c>
      <c r="O110" s="110">
        <f t="shared" si="16"/>
        <v>217.33999999999997</v>
      </c>
      <c r="P110" s="110">
        <v>42</v>
      </c>
      <c r="Q110" s="110">
        <f t="shared" ref="Q110:AC110" si="17">SUM(Q20,Q26,Q29:Q30,Q58,Q60:Q61,Q63,Q65,Q111:Q115,Q138,Q144,Q150,Q159,Q161,Q173,Q180,Q183:Q184,Q191,Q193,Q195,Q199:Q201,Q203:Q205,Q210,Q216:Q217,Q219:Q221,Q229,Q234)</f>
        <v>207.2</v>
      </c>
      <c r="R110" s="110">
        <f t="shared" si="17"/>
        <v>208.70000000000002</v>
      </c>
      <c r="S110" s="110">
        <f>SUM(S20,S26,S29:S30,S58,S60:S61,S63,S65,S111:S115,S138,S144,S150,S159,S161,S173,S180,S183:S184,S191,S193,S195,S199:S201,S203:S205,S210,S216:S217,S219:S221,S229,S234)</f>
        <v>203.4</v>
      </c>
      <c r="T110" s="110">
        <f>SUM(T20,T26,T29:T30,T58,T60:T61,T63,T65,T111:T115,T138,T144,T150,T159,T161,T173,T180,T183:T184,T191,T193,T195,T199:T201,T203:T205,T210,T216:T217,T219:T221,T229,T234)</f>
        <v>213.79999999999995</v>
      </c>
      <c r="U110" s="110">
        <f>SUM(U20,U26,U29:U30,U58,U60:U61,U63,U65,U111:U115,U138,U144,U150,U159,U161,U173,U180,U183:U184,U191,U193,U195,U199:U201,U203:U205,U210,U216:U217,U219:U221,U229,U234)</f>
        <v>213.20000000000002</v>
      </c>
      <c r="V110" s="110">
        <f t="shared" si="17"/>
        <v>215.70000000000002</v>
      </c>
      <c r="W110" s="110">
        <f t="shared" si="17"/>
        <v>217.40000000000003</v>
      </c>
      <c r="X110" s="110">
        <f>SUM(X20,X26,X29:X30,X58,X60:X61,X63,X65,X111:X115,X138,X144,X150,X159,X161,X173,X180,X183:X184,X191,X193,X195,X199:X201,X203:X205,X210,X216:X217,X219:X221,X229,X234)</f>
        <v>237.2</v>
      </c>
      <c r="Y110" s="110">
        <f t="shared" si="17"/>
        <v>237.70000000000005</v>
      </c>
      <c r="Z110" s="110">
        <f>SUM(Z20,Z26,Z29:Z30,Z58,Z60:Z61,Z63,Z65,Z111:Z115,Z138,Z144,Z150,Z159,Z161,Z173,Z180,Z183:Z184,Z191,Z193,Z195,Z199:Z201,Z203:Z205,Z210,Z216:Z217,Z219:Z221,Z229,Z234)</f>
        <v>242.00000000000003</v>
      </c>
      <c r="AA110" s="110">
        <f>SUM(AA20,AA26,AA29:AA30,AA58,AA60:AA61,AA63,AA65,AA111:AA115,AA138,AA144,AA150,AA159,AA161,AA173,AA180,AA183:AA184,AA191,AA193,AA195,AA199:AA201,AA203:AA205,AA210,AA216:AA217,AA219:AA221,AA229,AA234)</f>
        <v>185.4</v>
      </c>
      <c r="AB110" s="110">
        <f t="shared" si="17"/>
        <v>0</v>
      </c>
      <c r="AC110" s="110">
        <f t="shared" si="17"/>
        <v>198.9</v>
      </c>
      <c r="AD110" s="110"/>
      <c r="AE110" s="110"/>
      <c r="AF110" s="110"/>
      <c r="AG110" s="111"/>
      <c r="AH110" s="47">
        <f t="shared" si="8"/>
        <v>242.00000000000003</v>
      </c>
      <c r="AI110" s="48">
        <f t="shared" si="9"/>
        <v>0</v>
      </c>
    </row>
    <row r="111" spans="1:37" x14ac:dyDescent="0.25">
      <c r="A111" s="99" t="s">
        <v>119</v>
      </c>
      <c r="B111" s="112">
        <v>24</v>
      </c>
      <c r="C111" s="112">
        <v>24</v>
      </c>
      <c r="D111" s="112">
        <v>24</v>
      </c>
      <c r="E111" s="112">
        <v>11.1</v>
      </c>
      <c r="F111" s="112">
        <v>11.3</v>
      </c>
      <c r="G111" s="112">
        <v>13.4</v>
      </c>
      <c r="H111" s="112">
        <v>23.2</v>
      </c>
      <c r="I111" s="112">
        <v>23.2</v>
      </c>
      <c r="J111" s="112">
        <v>42</v>
      </c>
      <c r="K111" s="112">
        <v>48.3</v>
      </c>
      <c r="L111" s="112">
        <v>57.1</v>
      </c>
      <c r="M111" s="112">
        <v>57.2</v>
      </c>
      <c r="N111" s="112">
        <v>57.2</v>
      </c>
      <c r="O111" s="112">
        <v>54.5</v>
      </c>
      <c r="P111" s="112">
        <v>53.3</v>
      </c>
      <c r="Q111" s="112">
        <v>52.4</v>
      </c>
      <c r="R111" s="112">
        <v>52.7</v>
      </c>
      <c r="S111" s="112">
        <v>46.6</v>
      </c>
      <c r="T111" s="112">
        <v>66.8</v>
      </c>
      <c r="U111" s="112">
        <v>65</v>
      </c>
      <c r="V111" s="112">
        <v>66.3</v>
      </c>
      <c r="W111" s="112">
        <v>67.2</v>
      </c>
      <c r="X111" s="112">
        <v>64</v>
      </c>
      <c r="Y111" s="112">
        <v>60.7</v>
      </c>
      <c r="Z111" s="112">
        <v>65.7</v>
      </c>
      <c r="AA111" s="112"/>
      <c r="AB111" s="112"/>
      <c r="AC111" s="112">
        <v>64.5</v>
      </c>
      <c r="AD111" s="112">
        <v>48.8</v>
      </c>
      <c r="AE111" s="112">
        <v>38.1</v>
      </c>
      <c r="AF111" s="112">
        <v>27.4</v>
      </c>
      <c r="AG111" s="113">
        <v>75</v>
      </c>
      <c r="AH111" s="47">
        <f t="shared" si="8"/>
        <v>67.2</v>
      </c>
      <c r="AI111" s="48">
        <f t="shared" si="9"/>
        <v>11.1</v>
      </c>
    </row>
    <row r="112" spans="1:37" x14ac:dyDescent="0.25">
      <c r="A112" s="102" t="s">
        <v>120</v>
      </c>
      <c r="B112" s="114">
        <v>37</v>
      </c>
      <c r="C112" s="114">
        <v>37</v>
      </c>
      <c r="D112" s="114">
        <v>37</v>
      </c>
      <c r="E112" s="114">
        <v>20.3</v>
      </c>
      <c r="F112" s="114">
        <v>21.5</v>
      </c>
      <c r="G112" s="114">
        <v>22.7</v>
      </c>
      <c r="H112" s="114">
        <v>34.700000000000003</v>
      </c>
      <c r="I112" s="114">
        <v>34.700000000000003</v>
      </c>
      <c r="J112" s="114">
        <v>86</v>
      </c>
      <c r="K112" s="114">
        <v>67.3</v>
      </c>
      <c r="L112" s="114">
        <v>79</v>
      </c>
      <c r="M112" s="114">
        <v>76.5</v>
      </c>
      <c r="N112" s="114">
        <v>81.5</v>
      </c>
      <c r="O112" s="114">
        <v>74.900000000000006</v>
      </c>
      <c r="P112" s="114">
        <v>74.5</v>
      </c>
      <c r="Q112" s="114">
        <v>74.900000000000006</v>
      </c>
      <c r="R112" s="114">
        <v>74.5</v>
      </c>
      <c r="S112" s="114">
        <v>65.7</v>
      </c>
      <c r="T112" s="114">
        <v>96.2</v>
      </c>
      <c r="U112" s="114">
        <v>97</v>
      </c>
      <c r="V112" s="114">
        <v>96.1</v>
      </c>
      <c r="W112" s="114">
        <v>96.3</v>
      </c>
      <c r="X112" s="114">
        <v>91.8</v>
      </c>
      <c r="Y112" s="114">
        <v>84.6</v>
      </c>
      <c r="Z112" s="114">
        <v>93.5</v>
      </c>
      <c r="AA112" s="114"/>
      <c r="AB112" s="114"/>
      <c r="AC112" s="114">
        <v>92.8</v>
      </c>
      <c r="AD112" s="114">
        <v>69.5</v>
      </c>
      <c r="AE112" s="114">
        <v>55.8</v>
      </c>
      <c r="AF112" s="114">
        <v>45</v>
      </c>
      <c r="AG112" s="113">
        <v>240</v>
      </c>
      <c r="AH112" s="47">
        <f t="shared" si="8"/>
        <v>97</v>
      </c>
      <c r="AI112" s="48">
        <f t="shared" si="9"/>
        <v>20.3</v>
      </c>
    </row>
    <row r="113" spans="1:37" x14ac:dyDescent="0.25">
      <c r="A113" s="102" t="s">
        <v>121</v>
      </c>
      <c r="B113" s="114">
        <v>-145</v>
      </c>
      <c r="C113" s="114">
        <v>-145</v>
      </c>
      <c r="D113" s="114">
        <v>-145</v>
      </c>
      <c r="E113" s="114">
        <v>-159</v>
      </c>
      <c r="F113" s="114">
        <v>-155.1</v>
      </c>
      <c r="G113" s="114">
        <v>-142</v>
      </c>
      <c r="H113" s="114">
        <v>-135.69999999999999</v>
      </c>
      <c r="I113" s="114">
        <v>-135.69999999999999</v>
      </c>
      <c r="J113" s="114">
        <v>-119</v>
      </c>
      <c r="K113" s="114">
        <v>-105.9</v>
      </c>
      <c r="L113" s="114">
        <v>-121.8</v>
      </c>
      <c r="M113" s="114">
        <v>-135</v>
      </c>
      <c r="N113" s="114">
        <v>-168</v>
      </c>
      <c r="O113" s="114">
        <v>-130</v>
      </c>
      <c r="P113" s="114">
        <v>-121.7</v>
      </c>
      <c r="Q113" s="114">
        <v>-122</v>
      </c>
      <c r="R113" s="114">
        <v>-118</v>
      </c>
      <c r="S113" s="114">
        <v>-105.9</v>
      </c>
      <c r="T113" s="114">
        <v>-156.9</v>
      </c>
      <c r="U113" s="114">
        <v>-152.30000000000001</v>
      </c>
      <c r="V113" s="114">
        <f>-65.5-74</f>
        <v>-139.5</v>
      </c>
      <c r="W113" s="114">
        <f>-63.1-68.4</f>
        <v>-131.5</v>
      </c>
      <c r="X113" s="114">
        <v>-125.3</v>
      </c>
      <c r="Y113" s="114">
        <v>-128</v>
      </c>
      <c r="Z113" s="114">
        <v>-139.6</v>
      </c>
      <c r="AA113" s="114"/>
      <c r="AB113" s="114"/>
      <c r="AC113" s="114">
        <f>-72.6-82.6</f>
        <v>-155.19999999999999</v>
      </c>
      <c r="AD113" s="114">
        <f>-61.9-69.3</f>
        <v>-131.19999999999999</v>
      </c>
      <c r="AE113" s="114">
        <f>-75-79</f>
        <v>-154</v>
      </c>
      <c r="AF113" s="114">
        <f>-46.2-80.1</f>
        <v>-126.3</v>
      </c>
      <c r="AG113" s="113">
        <v>240</v>
      </c>
      <c r="AH113" s="47">
        <f t="shared" si="8"/>
        <v>-105.9</v>
      </c>
      <c r="AI113" s="48">
        <f t="shared" si="9"/>
        <v>-168</v>
      </c>
    </row>
    <row r="114" spans="1:37" x14ac:dyDescent="0.25">
      <c r="A114" s="102" t="s">
        <v>122</v>
      </c>
      <c r="B114" s="114">
        <v>-12</v>
      </c>
      <c r="C114" s="114">
        <v>-12</v>
      </c>
      <c r="D114" s="114">
        <v>-12</v>
      </c>
      <c r="E114" s="114">
        <v>-13.4</v>
      </c>
      <c r="F114" s="114">
        <v>-14.2</v>
      </c>
      <c r="G114" s="114">
        <v>-11.7</v>
      </c>
      <c r="H114" s="114">
        <v>-9.8000000000000007</v>
      </c>
      <c r="I114" s="114">
        <v>-9.8000000000000007</v>
      </c>
      <c r="J114" s="114">
        <v>-1</v>
      </c>
      <c r="K114" s="114">
        <v>1.2</v>
      </c>
      <c r="L114" s="114">
        <v>1.2</v>
      </c>
      <c r="M114" s="114">
        <v>10.199999999999999</v>
      </c>
      <c r="N114" s="114">
        <v>4.8</v>
      </c>
      <c r="O114" s="114">
        <v>18</v>
      </c>
      <c r="P114" s="114">
        <v>14</v>
      </c>
      <c r="Q114" s="114">
        <v>1.2</v>
      </c>
      <c r="R114" s="114">
        <v>2.9</v>
      </c>
      <c r="S114" s="114">
        <v>6</v>
      </c>
      <c r="T114" s="114">
        <v>13.1</v>
      </c>
      <c r="U114" s="114">
        <v>14.9</v>
      </c>
      <c r="V114" s="114">
        <v>6.6</v>
      </c>
      <c r="W114" s="114">
        <v>0</v>
      </c>
      <c r="X114" s="114">
        <v>21.3</v>
      </c>
      <c r="Y114" s="114">
        <v>35</v>
      </c>
      <c r="Z114" s="114">
        <v>37</v>
      </c>
      <c r="AA114" s="114"/>
      <c r="AB114" s="114"/>
      <c r="AC114" s="114">
        <v>13.4</v>
      </c>
      <c r="AD114" s="114">
        <v>3.6</v>
      </c>
      <c r="AE114" s="114">
        <v>-10.7</v>
      </c>
      <c r="AF114" s="114">
        <v>-16.5</v>
      </c>
      <c r="AG114" s="113">
        <v>60</v>
      </c>
      <c r="AH114" s="47">
        <f t="shared" si="8"/>
        <v>37</v>
      </c>
      <c r="AI114" s="48">
        <f t="shared" si="9"/>
        <v>-16.5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/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/>
      <c r="AB115" s="116"/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8"/>
        <v>0</v>
      </c>
      <c r="AI115" s="48">
        <f t="shared" si="9"/>
        <v>0</v>
      </c>
    </row>
    <row r="116" spans="1:37" x14ac:dyDescent="0.25">
      <c r="A116" s="115" t="s">
        <v>124</v>
      </c>
      <c r="B116" s="116">
        <v>90</v>
      </c>
      <c r="C116" s="116">
        <v>90</v>
      </c>
      <c r="D116" s="116">
        <v>90</v>
      </c>
      <c r="E116" s="116">
        <v>64.5</v>
      </c>
      <c r="F116" s="116">
        <v>50</v>
      </c>
      <c r="G116" s="116">
        <v>60</v>
      </c>
      <c r="H116" s="116">
        <v>56.9</v>
      </c>
      <c r="I116" s="116">
        <v>56.9</v>
      </c>
      <c r="J116" s="116">
        <v>-18.100000000000001</v>
      </c>
      <c r="K116" s="116">
        <v>52</v>
      </c>
      <c r="L116" s="116">
        <v>25.6</v>
      </c>
      <c r="M116" s="116">
        <v>10.5</v>
      </c>
      <c r="N116" s="116">
        <v>12.8</v>
      </c>
      <c r="O116" s="116">
        <v>44.2</v>
      </c>
      <c r="P116" s="116">
        <v>68.900000000000006</v>
      </c>
      <c r="Q116" s="116">
        <v>51.9</v>
      </c>
      <c r="R116" s="116">
        <v>38.299999999999997</v>
      </c>
      <c r="S116" s="116">
        <v>51.1</v>
      </c>
      <c r="T116" s="116">
        <v>36.299999999999997</v>
      </c>
      <c r="U116" s="116">
        <v>66.099999999999994</v>
      </c>
      <c r="V116" s="116">
        <v>38.200000000000003</v>
      </c>
      <c r="W116" s="116">
        <v>57.6</v>
      </c>
      <c r="X116" s="116">
        <v>25.5</v>
      </c>
      <c r="Y116" s="116">
        <v>67.099999999999994</v>
      </c>
      <c r="Z116" s="116">
        <v>42.8</v>
      </c>
      <c r="AA116" s="116"/>
      <c r="AB116" s="116"/>
      <c r="AC116" s="116">
        <v>48.5</v>
      </c>
      <c r="AD116" s="116">
        <v>22</v>
      </c>
      <c r="AE116" s="116">
        <v>9.4</v>
      </c>
      <c r="AF116" s="116">
        <v>77.2</v>
      </c>
      <c r="AG116" s="117"/>
      <c r="AH116" s="47">
        <f t="shared" si="8"/>
        <v>90</v>
      </c>
      <c r="AI116" s="48">
        <f t="shared" si="9"/>
        <v>-18.100000000000001</v>
      </c>
    </row>
    <row r="117" spans="1:37" x14ac:dyDescent="0.25">
      <c r="A117" s="115" t="s">
        <v>125</v>
      </c>
      <c r="B117" s="116">
        <v>-4</v>
      </c>
      <c r="C117" s="116">
        <v>-4</v>
      </c>
      <c r="D117" s="116">
        <v>-4</v>
      </c>
      <c r="E117" s="116">
        <v>5.5</v>
      </c>
      <c r="F117" s="116">
        <v>0</v>
      </c>
      <c r="G117" s="116">
        <v>-1.3</v>
      </c>
      <c r="H117" s="116">
        <v>-6.8</v>
      </c>
      <c r="I117" s="116">
        <v>-6.8</v>
      </c>
      <c r="J117" s="116">
        <v>-50.3</v>
      </c>
      <c r="K117" s="116">
        <v>-60</v>
      </c>
      <c r="L117" s="116">
        <v>-58.6</v>
      </c>
      <c r="M117" s="116">
        <v>-65</v>
      </c>
      <c r="N117" s="116">
        <v>-60.1</v>
      </c>
      <c r="O117" s="116">
        <v>-60.4</v>
      </c>
      <c r="P117" s="116">
        <v>-47.9</v>
      </c>
      <c r="Q117" s="116">
        <v>-51.1</v>
      </c>
      <c r="R117" s="116">
        <v>-56.1</v>
      </c>
      <c r="S117" s="116">
        <v>-50.1</v>
      </c>
      <c r="T117" s="116">
        <v>-27.6</v>
      </c>
      <c r="U117" s="116">
        <v>-15.6</v>
      </c>
      <c r="V117" s="116">
        <v>-33.4</v>
      </c>
      <c r="W117" s="116">
        <v>-39.700000000000003</v>
      </c>
      <c r="X117" s="116">
        <v>-46.8</v>
      </c>
      <c r="Y117" s="116">
        <v>-43.1</v>
      </c>
      <c r="Z117" s="116">
        <v>-32.5</v>
      </c>
      <c r="AA117" s="116"/>
      <c r="AB117" s="116"/>
      <c r="AC117" s="116">
        <v>-29.3</v>
      </c>
      <c r="AD117" s="116">
        <v>-11.9</v>
      </c>
      <c r="AE117" s="116">
        <v>-1.1000000000000001</v>
      </c>
      <c r="AF117" s="116">
        <v>14.4</v>
      </c>
      <c r="AG117" s="118"/>
      <c r="AH117" s="47">
        <f t="shared" si="8"/>
        <v>14.4</v>
      </c>
      <c r="AI117" s="48">
        <f t="shared" si="9"/>
        <v>-65</v>
      </c>
    </row>
    <row r="118" spans="1:37" x14ac:dyDescent="0.25">
      <c r="A118" s="119" t="s">
        <v>126</v>
      </c>
      <c r="B118" s="105">
        <v>64</v>
      </c>
      <c r="C118" s="105">
        <v>64</v>
      </c>
      <c r="D118" s="105">
        <v>64</v>
      </c>
      <c r="E118" s="105">
        <v>71.599999999999994</v>
      </c>
      <c r="F118" s="105">
        <v>73.900000000000006</v>
      </c>
      <c r="G118" s="105">
        <v>-73.2</v>
      </c>
      <c r="H118" s="105">
        <v>75.5</v>
      </c>
      <c r="I118" s="105">
        <v>75.5</v>
      </c>
      <c r="J118" s="105">
        <v>71.3</v>
      </c>
      <c r="K118" s="105">
        <v>63.2</v>
      </c>
      <c r="L118" s="105">
        <v>57.1</v>
      </c>
      <c r="M118" s="105">
        <v>53</v>
      </c>
      <c r="N118" s="105">
        <v>58.6</v>
      </c>
      <c r="O118" s="105">
        <v>50.7</v>
      </c>
      <c r="P118" s="105">
        <v>49.5</v>
      </c>
      <c r="Q118" s="105">
        <v>49.4</v>
      </c>
      <c r="R118" s="105">
        <v>41.3</v>
      </c>
      <c r="S118" s="105">
        <v>25.8</v>
      </c>
      <c r="T118" s="105">
        <v>33.5</v>
      </c>
      <c r="U118" s="105">
        <v>38.200000000000003</v>
      </c>
      <c r="V118" s="105">
        <v>38.700000000000003</v>
      </c>
      <c r="W118" s="105">
        <v>48.1</v>
      </c>
      <c r="X118" s="105">
        <v>34.78</v>
      </c>
      <c r="Y118" s="105">
        <v>29.6</v>
      </c>
      <c r="Z118" s="105">
        <v>32</v>
      </c>
      <c r="AA118" s="105"/>
      <c r="AB118" s="105"/>
      <c r="AC118" s="105">
        <v>43.1</v>
      </c>
      <c r="AD118" s="105">
        <v>41.7</v>
      </c>
      <c r="AE118" s="105">
        <v>49.8</v>
      </c>
      <c r="AF118" s="105">
        <v>51.8</v>
      </c>
      <c r="AG118" s="118"/>
      <c r="AH118" s="47">
        <f t="shared" si="8"/>
        <v>75.5</v>
      </c>
      <c r="AI118" s="48">
        <f t="shared" si="9"/>
        <v>-73.2</v>
      </c>
    </row>
    <row r="119" spans="1:37" x14ac:dyDescent="0.25">
      <c r="A119" s="120" t="s">
        <v>127</v>
      </c>
      <c r="B119" s="105">
        <v>66</v>
      </c>
      <c r="C119" s="105">
        <v>66</v>
      </c>
      <c r="D119" s="105">
        <v>66</v>
      </c>
      <c r="E119" s="105">
        <v>74.400000000000006</v>
      </c>
      <c r="F119" s="105">
        <v>75.3</v>
      </c>
      <c r="G119" s="105">
        <v>68</v>
      </c>
      <c r="H119" s="105">
        <v>66.099999999999994</v>
      </c>
      <c r="I119" s="105">
        <v>66.099999999999994</v>
      </c>
      <c r="J119" s="105">
        <v>75.5</v>
      </c>
      <c r="K119" s="105">
        <v>68.599999999999994</v>
      </c>
      <c r="L119" s="105">
        <v>77.7</v>
      </c>
      <c r="M119" s="105">
        <v>94.7</v>
      </c>
      <c r="N119" s="105">
        <v>87.5</v>
      </c>
      <c r="O119" s="105">
        <v>81.7</v>
      </c>
      <c r="P119" s="105">
        <v>68.099999999999994</v>
      </c>
      <c r="Q119" s="105">
        <v>71</v>
      </c>
      <c r="R119" s="105">
        <v>70.400000000000006</v>
      </c>
      <c r="S119" s="105">
        <v>61.6</v>
      </c>
      <c r="T119" s="105">
        <v>69.5</v>
      </c>
      <c r="U119" s="105">
        <v>61.7</v>
      </c>
      <c r="V119" s="105">
        <v>68.7</v>
      </c>
      <c r="W119" s="105">
        <v>59.1</v>
      </c>
      <c r="X119" s="105">
        <v>59</v>
      </c>
      <c r="Y119" s="105">
        <v>50.2</v>
      </c>
      <c r="Z119" s="105">
        <v>63.1</v>
      </c>
      <c r="AA119" s="105"/>
      <c r="AB119" s="105"/>
      <c r="AC119" s="105">
        <v>75.099999999999994</v>
      </c>
      <c r="AD119" s="105">
        <v>85.4</v>
      </c>
      <c r="AE119" s="105">
        <v>85.6</v>
      </c>
      <c r="AF119" s="105">
        <v>67.8</v>
      </c>
      <c r="AG119" s="118"/>
      <c r="AH119" s="47">
        <f t="shared" si="8"/>
        <v>94.7</v>
      </c>
      <c r="AI119" s="48">
        <f t="shared" si="9"/>
        <v>50.2</v>
      </c>
    </row>
    <row r="120" spans="1:37" ht="15.75" thickBot="1" x14ac:dyDescent="0.3">
      <c r="A120" s="119" t="s">
        <v>128</v>
      </c>
      <c r="B120" s="105">
        <v>-9</v>
      </c>
      <c r="C120" s="105">
        <v>-9</v>
      </c>
      <c r="D120" s="105">
        <v>-9</v>
      </c>
      <c r="E120" s="105">
        <v>-4.7</v>
      </c>
      <c r="F120" s="105">
        <v>-14.2</v>
      </c>
      <c r="G120" s="105">
        <v>-15.5</v>
      </c>
      <c r="H120" s="105">
        <v>-20.6</v>
      </c>
      <c r="I120" s="105">
        <v>-20.6</v>
      </c>
      <c r="J120" s="105">
        <v>31.5</v>
      </c>
      <c r="K120" s="105">
        <v>-9.3000000000000007</v>
      </c>
      <c r="L120" s="105">
        <v>-1.1000000000000001</v>
      </c>
      <c r="M120" s="105">
        <v>-1.8</v>
      </c>
      <c r="N120" s="105">
        <v>3.8</v>
      </c>
      <c r="O120" s="105">
        <v>12.7</v>
      </c>
      <c r="P120" s="105">
        <v>15</v>
      </c>
      <c r="Q120" s="105">
        <v>5.2</v>
      </c>
      <c r="R120" s="105">
        <v>13</v>
      </c>
      <c r="S120" s="105">
        <v>26.5</v>
      </c>
      <c r="T120" s="105">
        <v>22.3</v>
      </c>
      <c r="U120" s="105">
        <v>9.4</v>
      </c>
      <c r="V120" s="105">
        <v>5.8</v>
      </c>
      <c r="W120" s="105">
        <v>-5.3</v>
      </c>
      <c r="X120" s="105">
        <v>19.5</v>
      </c>
      <c r="Y120" s="105">
        <v>27.4</v>
      </c>
      <c r="Z120" s="105">
        <v>28.9</v>
      </c>
      <c r="AA120" s="105"/>
      <c r="AB120" s="105"/>
      <c r="AC120" s="105">
        <v>24.7</v>
      </c>
      <c r="AD120" s="105">
        <v>29.3</v>
      </c>
      <c r="AE120" s="105">
        <v>17.899999999999999</v>
      </c>
      <c r="AF120" s="105">
        <v>19.5</v>
      </c>
      <c r="AG120" s="118"/>
      <c r="AH120" s="47">
        <f t="shared" si="8"/>
        <v>31.5</v>
      </c>
      <c r="AI120" s="48">
        <f t="shared" si="9"/>
        <v>-20.6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2195.56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10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2080/05/10)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2080/05/10)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2064.06</v>
      </c>
      <c r="U249" s="170">
        <f t="shared" si="22"/>
        <v>2064.06</v>
      </c>
      <c r="V249" s="170">
        <f t="shared" si="22"/>
        <v>2064.06</v>
      </c>
      <c r="W249" s="170">
        <f t="shared" si="22"/>
        <v>2064.06</v>
      </c>
      <c r="X249" s="170">
        <f t="shared" si="22"/>
        <v>2064.06</v>
      </c>
      <c r="Y249" s="170">
        <f t="shared" si="22"/>
        <v>2064.06</v>
      </c>
      <c r="Z249" s="170">
        <f t="shared" si="22"/>
        <v>2064.06</v>
      </c>
      <c r="AA249" s="170">
        <f t="shared" si="22"/>
        <v>2069.06</v>
      </c>
      <c r="AB249" s="170">
        <f t="shared" si="22"/>
        <v>2069.06</v>
      </c>
      <c r="AC249" s="170">
        <f t="shared" si="22"/>
        <v>2071.06</v>
      </c>
      <c r="AD249" s="170">
        <f t="shared" si="22"/>
        <v>2128.06</v>
      </c>
      <c r="AE249" s="170">
        <f t="shared" si="22"/>
        <v>2195.56</v>
      </c>
      <c r="AF249" s="170">
        <f t="shared" si="22"/>
        <v>2178.06</v>
      </c>
      <c r="AG249" s="170">
        <f t="shared" si="22"/>
        <v>2204.66</v>
      </c>
      <c r="AH249" s="170">
        <f t="shared" si="22"/>
        <v>2171.56</v>
      </c>
      <c r="AI249" s="170">
        <f t="shared" si="22"/>
        <v>2166.7599999999998</v>
      </c>
      <c r="AJ249" s="170">
        <f t="shared" si="22"/>
        <v>2175.7599999999998</v>
      </c>
      <c r="AK249" s="170">
        <f t="shared" si="22"/>
        <v>2169.7599999999998</v>
      </c>
      <c r="AL249" s="170">
        <f t="shared" si="22"/>
        <v>2189.3599999999997</v>
      </c>
      <c r="AM249" s="170">
        <f t="shared" si="22"/>
        <v>2183.3599999999997</v>
      </c>
      <c r="AN249" s="170">
        <f t="shared" si="22"/>
        <v>2201.56</v>
      </c>
      <c r="AO249" s="170">
        <f t="shared" si="22"/>
        <v>2216.3599999999997</v>
      </c>
      <c r="AP249" s="170">
        <f t="shared" si="22"/>
        <v>2213.2599999999998</v>
      </c>
      <c r="AQ249" s="170">
        <f t="shared" si="22"/>
        <v>2270.66</v>
      </c>
      <c r="AR249" s="170">
        <f t="shared" si="22"/>
        <v>2273.2599999999998</v>
      </c>
      <c r="AS249" s="170">
        <f t="shared" si="22"/>
        <v>2172.0599999999995</v>
      </c>
      <c r="AT249" s="170">
        <f t="shared" si="22"/>
        <v>3.54</v>
      </c>
      <c r="AU249" s="170">
        <f t="shared" si="22"/>
        <v>2251.94</v>
      </c>
      <c r="AV249" s="170">
        <f t="shared" si="22"/>
        <v>2174.64</v>
      </c>
      <c r="AW249" s="170">
        <f t="shared" si="22"/>
        <v>2138.34</v>
      </c>
      <c r="AX249" s="170">
        <f t="shared" si="22"/>
        <v>2133.84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752" priority="64">
      <formula>$AH11=0</formula>
    </cfRule>
  </conditionalFormatting>
  <conditionalFormatting sqref="B8 M8 S8 AB8">
    <cfRule type="expression" dxfId="2751" priority="115">
      <formula>AND(C$9&gt;=14/24,C$9&lt;20/24)</formula>
    </cfRule>
    <cfRule type="expression" dxfId="2750" priority="116">
      <formula>AND(C$9&gt;=8/24,C$9&lt;14/24)</formula>
    </cfRule>
    <cfRule type="expression" dxfId="2749" priority="117">
      <formula>C$9&lt;8/24</formula>
    </cfRule>
  </conditionalFormatting>
  <conditionalFormatting sqref="B54:D54 B9:AF45">
    <cfRule type="expression" dxfId="2748" priority="38">
      <formula>B$9&gt;=20/24</formula>
    </cfRule>
    <cfRule type="expression" dxfId="2747" priority="39">
      <formula>AND(B$9&gt;=14/24,B$9&lt;20/24)</formula>
    </cfRule>
    <cfRule type="expression" dxfId="2746" priority="40">
      <formula>AND(B$9&gt;=8/24,B$9&lt;14/24)</formula>
    </cfRule>
    <cfRule type="expression" dxfId="2745" priority="41">
      <formula>B$9&lt;8/24</formula>
    </cfRule>
  </conditionalFormatting>
  <conditionalFormatting sqref="B54:D66 E55:P66 Q59:AA59 Q61:AA66 B11:AF46">
    <cfRule type="expression" dxfId="2744" priority="33">
      <formula>B11&gt;$AG11</formula>
    </cfRule>
  </conditionalFormatting>
  <conditionalFormatting sqref="B55:P59 Q59:AA59">
    <cfRule type="expression" dxfId="2743" priority="60">
      <formula>B$9&gt;=20/24</formula>
    </cfRule>
    <cfRule type="expression" dxfId="2742" priority="61">
      <formula>AND(B$9&gt;=14/24,B$9&lt;20/24)</formula>
    </cfRule>
    <cfRule type="expression" dxfId="2741" priority="62">
      <formula>AND(B$9&gt;=8/24,B$9&lt;14/24)</formula>
    </cfRule>
    <cfRule type="expression" dxfId="2740" priority="63">
      <formula>B$9&lt;8/24</formula>
    </cfRule>
  </conditionalFormatting>
  <conditionalFormatting sqref="B60:AA60">
    <cfRule type="expression" dxfId="2739" priority="51">
      <formula>B$9&gt;=20/24</formula>
    </cfRule>
    <cfRule type="expression" dxfId="2738" priority="52">
      <formula>AND(B$9&gt;=14/24,B$9&lt;20/24)</formula>
    </cfRule>
    <cfRule type="expression" dxfId="2737" priority="53">
      <formula>AND(B$9&gt;=8/24,B$9&lt;14/24)</formula>
    </cfRule>
    <cfRule type="expression" dxfId="2736" priority="54">
      <formula>B$9&lt;8/24</formula>
    </cfRule>
  </conditionalFormatting>
  <conditionalFormatting sqref="B61:AF66">
    <cfRule type="expression" dxfId="2735" priority="34">
      <formula>B$9&gt;=20/24</formula>
    </cfRule>
    <cfRule type="expression" dxfId="2734" priority="35">
      <formula>AND(B$9&gt;=14/24,B$9&lt;20/24)</formula>
    </cfRule>
    <cfRule type="expression" dxfId="2733" priority="36">
      <formula>AND(B$9&gt;=8/24,B$9&lt;14/24)</formula>
    </cfRule>
    <cfRule type="expression" dxfId="2732" priority="37">
      <formula>B$9&lt;8/24</formula>
    </cfRule>
  </conditionalFormatting>
  <conditionalFormatting sqref="B46:AF46">
    <cfRule type="expression" dxfId="2731" priority="18">
      <formula>B$9&gt;=20/24</formula>
    </cfRule>
    <cfRule type="expression" dxfId="2730" priority="19">
      <formula>AND(B$9&gt;=14/24,B$9&lt;20/24)</formula>
    </cfRule>
    <cfRule type="expression" dxfId="2729" priority="20">
      <formula>AND(B$9&gt;=8/24,B$9&lt;14/24)</formula>
    </cfRule>
    <cfRule type="expression" dxfId="2728" priority="21">
      <formula>B$9&lt;8/24</formula>
    </cfRule>
  </conditionalFormatting>
  <conditionalFormatting sqref="B47:AF47">
    <cfRule type="expression" dxfId="2727" priority="32">
      <formula>B47&gt;$AG47</formula>
    </cfRule>
  </conditionalFormatting>
  <conditionalFormatting sqref="B47:AF49">
    <cfRule type="expression" dxfId="2726" priority="28">
      <formula>B$9&gt;=20/24</formula>
    </cfRule>
    <cfRule type="expression" dxfId="2725" priority="29">
      <formula>AND(B$9&gt;=14/24,B$9&lt;20/24)</formula>
    </cfRule>
    <cfRule type="expression" dxfId="2724" priority="30">
      <formula>AND(B$9&gt;=8/24,B$9&lt;14/24)</formula>
    </cfRule>
    <cfRule type="expression" dxfId="2723" priority="31">
      <formula>B$9&lt;8/24</formula>
    </cfRule>
  </conditionalFormatting>
  <conditionalFormatting sqref="B48:AF53">
    <cfRule type="expression" dxfId="2722" priority="27">
      <formula>B48&gt;$AG48</formula>
    </cfRule>
  </conditionalFormatting>
  <conditionalFormatting sqref="B51:AF53">
    <cfRule type="expression" dxfId="2721" priority="47">
      <formula>B$9&gt;=20/24</formula>
    </cfRule>
    <cfRule type="expression" dxfId="2720" priority="48">
      <formula>AND(B$9&gt;=14/24,B$9&lt;20/24)</formula>
    </cfRule>
    <cfRule type="expression" dxfId="2719" priority="49">
      <formula>AND(B$9&gt;=8/24,B$9&lt;14/24)</formula>
    </cfRule>
    <cfRule type="expression" dxfId="2718" priority="50">
      <formula>B$9&lt;8/24</formula>
    </cfRule>
  </conditionalFormatting>
  <conditionalFormatting sqref="B69:AF71 E54:AG54">
    <cfRule type="expression" dxfId="2717" priority="55">
      <formula>B54&gt;$AG54</formula>
    </cfRule>
    <cfRule type="expression" dxfId="2716" priority="56">
      <formula>B$9&gt;=20/24</formula>
    </cfRule>
    <cfRule type="expression" dxfId="2715" priority="57">
      <formula>AND(B$9&gt;=14/24,B$9&lt;20/24)</formula>
    </cfRule>
    <cfRule type="expression" dxfId="2714" priority="58">
      <formula>AND(B$9&gt;=8/24,B$9&lt;14/24)</formula>
    </cfRule>
    <cfRule type="expression" dxfId="2713" priority="59">
      <formula>B$9&lt;8/24</formula>
    </cfRule>
  </conditionalFormatting>
  <conditionalFormatting sqref="B73:AF91">
    <cfRule type="expression" dxfId="2712" priority="1">
      <formula>B$9&gt;=20/24</formula>
    </cfRule>
    <cfRule type="expression" dxfId="2711" priority="2">
      <formula>AND(B$9&gt;=14/24,B$9&lt;20/24)</formula>
    </cfRule>
    <cfRule type="expression" dxfId="2710" priority="3">
      <formula>AND(B$9&gt;=8/24,B$9&lt;14/24)</formula>
    </cfRule>
    <cfRule type="expression" dxfId="2709" priority="4">
      <formula>B$9&lt;8/24</formula>
    </cfRule>
  </conditionalFormatting>
  <conditionalFormatting sqref="B111:AF120">
    <cfRule type="expression" dxfId="2708" priority="14">
      <formula>B$9&gt;=20/24</formula>
    </cfRule>
    <cfRule type="expression" dxfId="2707" priority="15">
      <formula>AND(B$9&gt;=14/24,B$9&lt;20/24)</formula>
    </cfRule>
    <cfRule type="expression" dxfId="2706" priority="16">
      <formula>AND(B$9&gt;=8/24,B$9&lt;14/24)</formula>
    </cfRule>
    <cfRule type="expression" dxfId="2705" priority="17">
      <formula>B$9&lt;8/24</formula>
    </cfRule>
  </conditionalFormatting>
  <conditionalFormatting sqref="B227:AF227 D229:AF230 B229:B235 D231:H231 J231:AF231 D232:AF235 U248:AF248">
    <cfRule type="expression" dxfId="2704" priority="108">
      <formula>B$9&gt;=20/24</formula>
    </cfRule>
    <cfRule type="expression" dxfId="2703" priority="109">
      <formula>AND(B$9&gt;=14/24,B$9&lt;20/24)</formula>
    </cfRule>
    <cfRule type="expression" dxfId="2702" priority="110">
      <formula>AND(B$9&gt;=8/24,B$9&lt;14/24)</formula>
    </cfRule>
    <cfRule type="expression" dxfId="2701" priority="111">
      <formula>B$9&lt;8/24</formula>
    </cfRule>
  </conditionalFormatting>
  <conditionalFormatting sqref="B72:AG72 B67:AG68">
    <cfRule type="expression" dxfId="2700" priority="42">
      <formula>B67&gt;$AG67</formula>
    </cfRule>
  </conditionalFormatting>
  <conditionalFormatting sqref="B72:AG72 B93:AF109">
    <cfRule type="expression" dxfId="2699" priority="43">
      <formula>B$9&gt;=20/24</formula>
    </cfRule>
    <cfRule type="expression" dxfId="2698" priority="44">
      <formula>AND(B$9&gt;=14/24,B$9&lt;20/24)</formula>
    </cfRule>
    <cfRule type="expression" dxfId="2697" priority="45">
      <formula>AND(B$9&gt;=8/24,B$9&lt;14/24)</formula>
    </cfRule>
    <cfRule type="expression" dxfId="2696" priority="46">
      <formula>B$9&lt;8/24</formula>
    </cfRule>
  </conditionalFormatting>
  <conditionalFormatting sqref="Q55:AA58 Q60:AA66 AB55:AF66">
    <cfRule type="expression" dxfId="2695" priority="5">
      <formula>Q55&gt;$AG55</formula>
    </cfRule>
  </conditionalFormatting>
  <conditionalFormatting sqref="Q55:AA58">
    <cfRule type="expression" dxfId="2694" priority="93">
      <formula>Q$9&gt;=20/24</formula>
    </cfRule>
    <cfRule type="expression" dxfId="2693" priority="94">
      <formula>AND(Q$9&gt;=14/24,Q$9&lt;20/24)</formula>
    </cfRule>
    <cfRule type="expression" dxfId="2692" priority="95">
      <formula>AND(Q$9&gt;=8/24,Q$9&lt;14/24)</formula>
    </cfRule>
    <cfRule type="expression" dxfId="2691" priority="96">
      <formula>Q$9&lt;8/24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690" priority="114">
      <formula>C$9&gt;=20/24</formula>
    </cfRule>
  </conditionalFormatting>
  <conditionalFormatting sqref="S8">
    <cfRule type="expression" dxfId="2689" priority="101">
      <formula>U$9&gt;=20/24</formula>
    </cfRule>
    <cfRule type="expression" dxfId="2688" priority="102">
      <formula>AND(U$9&gt;=14/24,U$9&lt;20/24)</formula>
    </cfRule>
    <cfRule type="expression" dxfId="2687" priority="103">
      <formula>AND(U$9&gt;=8/24,U$9&lt;14/24)</formula>
    </cfRule>
    <cfRule type="expression" dxfId="2686" priority="104">
      <formula>U$9&lt;8/24</formula>
    </cfRule>
  </conditionalFormatting>
  <conditionalFormatting sqref="AB55:AF60">
    <cfRule type="expression" dxfId="2685" priority="10">
      <formula>AB$9&gt;=20/24</formula>
    </cfRule>
    <cfRule type="expression" dxfId="2684" priority="11">
      <formula>AND(AB$9&gt;=14/24,AB$9&lt;20/24)</formula>
    </cfRule>
    <cfRule type="expression" dxfId="2683" priority="12">
      <formula>AND(AB$9&gt;=8/24,AB$9&lt;14/24)</formula>
    </cfRule>
    <cfRule type="expression" dxfId="2682" priority="13">
      <formula>AB$9&lt;8/24</formula>
    </cfRule>
  </conditionalFormatting>
  <conditionalFormatting sqref="T248">
    <cfRule type="expression" dxfId="2681" priority="126">
      <formula>AX$9&gt;=20/24</formula>
    </cfRule>
    <cfRule type="expression" dxfId="2680" priority="127">
      <formula>AND(AX$9&gt;=14/24,AX$9&lt;20/24)</formula>
    </cfRule>
    <cfRule type="expression" dxfId="2679" priority="128">
      <formula>AND(AX$9&gt;=8/24,AX$9&lt;14/24)</formula>
    </cfRule>
    <cfRule type="expression" dxfId="2678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677" priority="97">
      <formula>AD$9&gt;=20/24</formula>
    </cfRule>
    <cfRule type="expression" dxfId="2676" priority="98">
      <formula>AND(AD$9&gt;=14/24,AD$9&lt;20/24)</formula>
    </cfRule>
    <cfRule type="expression" dxfId="2675" priority="99">
      <formula>AND(AD$9&gt;=8/24,AD$9&lt;14/24)</formula>
    </cfRule>
    <cfRule type="expression" dxfId="2674" priority="100">
      <formula>AD$9&lt;8/24</formula>
    </cfRule>
  </conditionalFormatting>
  <conditionalFormatting sqref="AG50">
    <cfRule type="expression" dxfId="2673" priority="84">
      <formula>AG50&gt;$AG50</formula>
    </cfRule>
  </conditionalFormatting>
  <conditionalFormatting sqref="AG89">
    <cfRule type="expression" dxfId="2672" priority="85">
      <formula>AG$9&gt;=20/24</formula>
    </cfRule>
    <cfRule type="expression" dxfId="2671" priority="86">
      <formula>AND(AG$9&gt;=14/24,AG$9&lt;20/24)</formula>
    </cfRule>
    <cfRule type="expression" dxfId="2670" priority="87">
      <formula>AND(AG$9&gt;=8/24,AG$9&lt;14/24)</formula>
    </cfRule>
    <cfRule type="expression" dxfId="2669" priority="88">
      <formula>AG$9&lt;8/24</formula>
    </cfRule>
  </conditionalFormatting>
  <conditionalFormatting sqref="AG248">
    <cfRule type="expression" dxfId="2668" priority="118">
      <formula>B$9&gt;=20/24</formula>
    </cfRule>
    <cfRule type="expression" dxfId="2667" priority="119">
      <formula>AND(B$9&gt;=14/24,B$9&lt;20/24)</formula>
    </cfRule>
    <cfRule type="expression" dxfId="2666" priority="120">
      <formula>AND(B$9&gt;=8/24,B$9&lt;14/24)</formula>
    </cfRule>
    <cfRule type="expression" dxfId="2665" priority="121">
      <formula>B$9&lt;8/24</formula>
    </cfRule>
  </conditionalFormatting>
  <conditionalFormatting sqref="AH248:AX248">
    <cfRule type="expression" dxfId="2664" priority="122">
      <formula>AG$9&gt;=20/24</formula>
    </cfRule>
    <cfRule type="expression" dxfId="2663" priority="123">
      <formula>AND(AG$9&gt;=14/24,AG$9&lt;20/24)</formula>
    </cfRule>
    <cfRule type="expression" dxfId="2662" priority="124">
      <formula>AND(AG$9&gt;=8/24,AG$9&lt;14/24)</formula>
    </cfRule>
    <cfRule type="expression" dxfId="2661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660" priority="131">
      <formula>AJ$9&gt;=20/24</formula>
    </cfRule>
    <cfRule type="expression" dxfId="2659" priority="132">
      <formula>AND(AJ$9&gt;=14/24,AJ$9&lt;20/24)</formula>
    </cfRule>
    <cfRule type="expression" dxfId="2658" priority="133">
      <formula>AND(AJ$9&gt;=8/24,AJ$9&lt;14/24)</formula>
    </cfRule>
    <cfRule type="expression" dxfId="2657" priority="134">
      <formula>AJ$9&lt;8/24</formula>
    </cfRule>
  </conditionalFormatting>
  <conditionalFormatting sqref="AL80:AN80 AL86:AN86">
    <cfRule type="expression" dxfId="2656" priority="72">
      <formula>AL$9&gt;=20/24</formula>
    </cfRule>
    <cfRule type="expression" dxfId="2655" priority="73">
      <formula>AND(AL$9&gt;=14/24,AL$9&lt;20/24)</formula>
    </cfRule>
    <cfRule type="expression" dxfId="2654" priority="74">
      <formula>AND(AL$9&gt;=8/24,AL$9&lt;14/24)</formula>
    </cfRule>
    <cfRule type="expression" dxfId="2653" priority="75">
      <formula>AL$9&lt;8/24</formula>
    </cfRule>
  </conditionalFormatting>
  <conditionalFormatting sqref="AN81:AN84">
    <cfRule type="expression" dxfId="2652" priority="68">
      <formula>AN$9&gt;=20/24</formula>
    </cfRule>
    <cfRule type="expression" dxfId="2651" priority="69">
      <formula>AND(AN$9&gt;=14/24,AN$9&lt;20/24)</formula>
    </cfRule>
    <cfRule type="expression" dxfId="2650" priority="70">
      <formula>AND(AN$9&gt;=8/24,AN$9&lt;14/24)</formula>
    </cfRule>
    <cfRule type="expression" dxfId="2649" priority="71">
      <formula>AN$9&lt;8/24</formula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7E659-C4DF-4333-AAE7-9966EF49AF82}">
  <sheetPr codeName="Sheet33"/>
  <dimension ref="A1:CJ281"/>
  <sheetViews>
    <sheetView workbookViewId="0">
      <pane xSplit="1" ySplit="10" topLeftCell="B2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2080/05/11</v>
      </c>
      <c r="C4" s="201"/>
      <c r="D4" s="201"/>
      <c r="E4" s="202" t="str">
        <f ca="1">"2080/"&amp;"05/"&amp;INT(MID(CELL("filename",G6),FIND("]",CELL("filename",G6))+1,200))</f>
        <v>2080/05/11</v>
      </c>
      <c r="F4" s="202"/>
      <c r="G4" s="202"/>
      <c r="H4" s="202" t="str">
        <f ca="1">TEXT(E4,"dddd")</f>
        <v>Saturday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21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14</v>
      </c>
      <c r="Y5" s="30">
        <f t="shared" si="0"/>
        <v>26.2</v>
      </c>
      <c r="Z5" s="30">
        <f t="shared" si="0"/>
        <v>28.1</v>
      </c>
      <c r="AA5" s="30">
        <f t="shared" si="0"/>
        <v>26.3</v>
      </c>
      <c r="AB5" s="30">
        <f t="shared" si="0"/>
        <v>26.3</v>
      </c>
      <c r="AC5" s="30">
        <f t="shared" si="0"/>
        <v>24.2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2195MW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2124.67</v>
      </c>
      <c r="C7" s="35">
        <f t="shared" si="1"/>
        <v>2104.0700000000002</v>
      </c>
      <c r="D7" s="35">
        <f t="shared" si="1"/>
        <v>2092.8700000000003</v>
      </c>
      <c r="E7" s="35">
        <f t="shared" si="1"/>
        <v>2084.4699999999998</v>
      </c>
      <c r="F7" s="35">
        <f t="shared" si="1"/>
        <v>2086.77</v>
      </c>
      <c r="G7" s="35">
        <f t="shared" si="1"/>
        <v>2088.17</v>
      </c>
      <c r="H7" s="35">
        <f t="shared" si="1"/>
        <v>2127.37</v>
      </c>
      <c r="I7" s="35">
        <f t="shared" si="1"/>
        <v>2130.5700000000002</v>
      </c>
      <c r="J7" s="35">
        <f t="shared" si="1"/>
        <v>2177.4700000000003</v>
      </c>
      <c r="K7" s="35">
        <f t="shared" si="1"/>
        <v>2186.4700000000003</v>
      </c>
      <c r="L7" s="35">
        <f t="shared" si="1"/>
        <v>2194.9700000000003</v>
      </c>
      <c r="M7" s="35">
        <f t="shared" si="1"/>
        <v>2194.9700000000003</v>
      </c>
      <c r="N7" s="35">
        <f>N91</f>
        <v>2194.9700000000003</v>
      </c>
      <c r="O7" s="35">
        <f t="shared" si="1"/>
        <v>2209.67</v>
      </c>
      <c r="P7" s="35">
        <f t="shared" si="1"/>
        <v>2236.9699999999998</v>
      </c>
      <c r="Q7" s="35">
        <f t="shared" si="1"/>
        <v>2230.9699999999998</v>
      </c>
      <c r="R7" s="35">
        <f t="shared" si="1"/>
        <v>3.54</v>
      </c>
      <c r="S7" s="35">
        <f t="shared" si="1"/>
        <v>3.54</v>
      </c>
      <c r="T7" s="35">
        <f t="shared" si="1"/>
        <v>2211.8399999999997</v>
      </c>
      <c r="U7" s="35">
        <f t="shared" si="1"/>
        <v>2130.64</v>
      </c>
      <c r="V7" s="35">
        <f t="shared" si="1"/>
        <v>2244.8399999999997</v>
      </c>
      <c r="W7" s="35">
        <f t="shared" si="1"/>
        <v>2256.54</v>
      </c>
      <c r="X7" s="35">
        <f t="shared" si="1"/>
        <v>2268.3399999999997</v>
      </c>
      <c r="Y7" s="35">
        <f t="shared" si="1"/>
        <v>2366.3399999999997</v>
      </c>
      <c r="Z7" s="35">
        <f t="shared" si="1"/>
        <v>2328.5399999999995</v>
      </c>
      <c r="AA7" s="35">
        <f t="shared" si="1"/>
        <v>2310.3399999999997</v>
      </c>
      <c r="AB7" s="35">
        <f t="shared" si="1"/>
        <v>2249.2399999999998</v>
      </c>
      <c r="AC7" s="35">
        <f t="shared" si="1"/>
        <v>2239.2399999999998</v>
      </c>
      <c r="AD7" s="35">
        <f t="shared" si="1"/>
        <v>2217.4399999999996</v>
      </c>
      <c r="AE7" s="35">
        <f t="shared" si="1"/>
        <v>2158.6400000000003</v>
      </c>
      <c r="AF7" s="35">
        <f t="shared" si="1"/>
        <v>2155.34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90.2</v>
      </c>
      <c r="M11" s="45">
        <v>90.2</v>
      </c>
      <c r="N11" s="45">
        <v>90.2</v>
      </c>
      <c r="O11" s="45">
        <v>90.2</v>
      </c>
      <c r="P11" s="45">
        <v>90.2</v>
      </c>
      <c r="Q11" s="45">
        <v>90.2</v>
      </c>
      <c r="R11" s="45" t="s">
        <v>263</v>
      </c>
      <c r="S11" s="45" t="s">
        <v>307</v>
      </c>
      <c r="T11" s="45">
        <v>90.1</v>
      </c>
      <c r="U11" s="45">
        <v>90.1</v>
      </c>
      <c r="V11" s="45">
        <v>90.1</v>
      </c>
      <c r="W11" s="45">
        <v>90.1</v>
      </c>
      <c r="X11" s="45">
        <v>90.1</v>
      </c>
      <c r="Y11" s="45">
        <v>90.1</v>
      </c>
      <c r="Z11" s="45">
        <v>90.1</v>
      </c>
      <c r="AA11" s="45">
        <v>90.1</v>
      </c>
      <c r="AB11" s="45">
        <v>90.1</v>
      </c>
      <c r="AC11" s="45">
        <v>90.1</v>
      </c>
      <c r="AD11" s="45">
        <v>90.1</v>
      </c>
      <c r="AE11" s="45">
        <v>90.1</v>
      </c>
      <c r="AF11" s="45">
        <v>90.1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90.1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8</v>
      </c>
      <c r="R12" s="45" t="s">
        <v>264</v>
      </c>
      <c r="S12" s="45" t="s">
        <v>269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8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54.3</v>
      </c>
      <c r="D13" s="45">
        <v>54.5</v>
      </c>
      <c r="E13" s="45">
        <v>54.4</v>
      </c>
      <c r="F13" s="45">
        <v>54.4</v>
      </c>
      <c r="G13" s="45">
        <v>54.4</v>
      </c>
      <c r="H13" s="45">
        <v>54.4</v>
      </c>
      <c r="I13" s="45">
        <v>54.4</v>
      </c>
      <c r="J13" s="45">
        <v>54.4</v>
      </c>
      <c r="K13" s="45">
        <v>54.4</v>
      </c>
      <c r="L13" s="45">
        <v>54.4</v>
      </c>
      <c r="M13" s="45">
        <v>54.4</v>
      </c>
      <c r="N13" s="45">
        <v>54.4</v>
      </c>
      <c r="O13" s="45">
        <v>54.4</v>
      </c>
      <c r="P13" s="45">
        <v>54.4</v>
      </c>
      <c r="Q13" s="45">
        <v>54.4</v>
      </c>
      <c r="R13" s="45" t="s">
        <v>265</v>
      </c>
      <c r="S13" s="45" t="s">
        <v>307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54.5</v>
      </c>
      <c r="AI13" s="48">
        <f t="shared" si="3"/>
        <v>54.3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50.5</v>
      </c>
      <c r="C14" s="45">
        <v>50.4</v>
      </c>
      <c r="D14" s="45">
        <v>50.3</v>
      </c>
      <c r="E14" s="58">
        <v>50.3</v>
      </c>
      <c r="F14" s="58">
        <v>50.3</v>
      </c>
      <c r="G14" s="58">
        <v>50.3</v>
      </c>
      <c r="H14" s="58">
        <v>50.3</v>
      </c>
      <c r="I14" s="58">
        <v>50.3</v>
      </c>
      <c r="J14" s="58">
        <v>50.3</v>
      </c>
      <c r="K14" s="58">
        <v>50.3</v>
      </c>
      <c r="L14" s="58">
        <v>50.3</v>
      </c>
      <c r="M14" s="58">
        <v>50.3</v>
      </c>
      <c r="N14" s="58">
        <v>50.3</v>
      </c>
      <c r="O14" s="58">
        <v>50.3</v>
      </c>
      <c r="P14" s="58">
        <v>50.3</v>
      </c>
      <c r="Q14" s="58">
        <v>50.3</v>
      </c>
      <c r="R14" s="58" t="s">
        <v>266</v>
      </c>
      <c r="S14" s="58" t="s">
        <v>266</v>
      </c>
      <c r="T14" s="58">
        <v>50.7</v>
      </c>
      <c r="U14" s="58">
        <v>50.7</v>
      </c>
      <c r="V14" s="58">
        <v>50.7</v>
      </c>
      <c r="W14" s="58">
        <v>50.7</v>
      </c>
      <c r="X14" s="58">
        <v>50.7</v>
      </c>
      <c r="Y14" s="58">
        <v>50.7</v>
      </c>
      <c r="Z14" s="58">
        <v>50.7</v>
      </c>
      <c r="AA14" s="58">
        <v>50.7</v>
      </c>
      <c r="AB14" s="58">
        <v>50.7</v>
      </c>
      <c r="AC14" s="58">
        <v>50.7</v>
      </c>
      <c r="AD14" s="58">
        <v>50.7</v>
      </c>
      <c r="AE14" s="58">
        <v>50.7</v>
      </c>
      <c r="AF14" s="58">
        <v>50.7</v>
      </c>
      <c r="AG14" s="49">
        <v>50</v>
      </c>
      <c r="AH14" s="47">
        <f t="shared" si="2"/>
        <v>50.7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46.3</v>
      </c>
      <c r="C15" s="45">
        <v>45.2</v>
      </c>
      <c r="D15" s="45">
        <v>45.2</v>
      </c>
      <c r="E15" s="45">
        <v>46.2</v>
      </c>
      <c r="F15" s="45">
        <v>46.2</v>
      </c>
      <c r="G15" s="45">
        <v>46.2</v>
      </c>
      <c r="H15" s="45">
        <v>46.2</v>
      </c>
      <c r="I15" s="45">
        <v>46.2</v>
      </c>
      <c r="J15" s="45">
        <v>46.2</v>
      </c>
      <c r="K15" s="45">
        <v>46.2</v>
      </c>
      <c r="L15" s="45">
        <v>46.2</v>
      </c>
      <c r="M15" s="45">
        <v>46.2</v>
      </c>
      <c r="N15" s="45">
        <v>46.2</v>
      </c>
      <c r="O15" s="45">
        <v>46.2</v>
      </c>
      <c r="P15" s="45">
        <v>46.2</v>
      </c>
      <c r="Q15" s="45">
        <v>46.2</v>
      </c>
      <c r="R15" s="45" t="s">
        <v>267</v>
      </c>
      <c r="S15" s="45" t="s">
        <v>270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46.3</v>
      </c>
      <c r="AF15" s="45">
        <v>46.3</v>
      </c>
      <c r="AG15" s="49">
        <v>45</v>
      </c>
      <c r="AH15" s="47">
        <f t="shared" si="2"/>
        <v>46.3</v>
      </c>
      <c r="AI15" s="48">
        <f t="shared" si="3"/>
        <v>45.2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 t="s">
        <v>264</v>
      </c>
      <c r="S16" s="45" t="s">
        <v>271</v>
      </c>
      <c r="T16" s="45">
        <v>0</v>
      </c>
      <c r="U16" s="45">
        <v>0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35</v>
      </c>
      <c r="L17" s="45">
        <v>35</v>
      </c>
      <c r="M17" s="45">
        <v>35</v>
      </c>
      <c r="N17" s="45">
        <v>31</v>
      </c>
      <c r="O17" s="45">
        <v>29</v>
      </c>
      <c r="P17" s="45">
        <v>30</v>
      </c>
      <c r="Q17" s="45">
        <v>30</v>
      </c>
      <c r="R17" s="45"/>
      <c r="S17" s="45"/>
      <c r="T17" s="45">
        <v>0</v>
      </c>
      <c r="U17" s="45">
        <v>0</v>
      </c>
      <c r="V17" s="45">
        <v>28</v>
      </c>
      <c r="W17" s="45">
        <v>28</v>
      </c>
      <c r="X17" s="45">
        <v>40</v>
      </c>
      <c r="Y17" s="45">
        <v>40</v>
      </c>
      <c r="Z17" s="45">
        <v>40</v>
      </c>
      <c r="AA17" s="45">
        <v>38</v>
      </c>
      <c r="AB17" s="45">
        <v>35</v>
      </c>
      <c r="AC17" s="45">
        <v>30</v>
      </c>
      <c r="AD17" s="45">
        <v>30</v>
      </c>
      <c r="AE17" s="45">
        <v>30</v>
      </c>
      <c r="AF17" s="45">
        <v>30</v>
      </c>
      <c r="AG17" s="49">
        <v>42</v>
      </c>
      <c r="AH17" s="47">
        <f t="shared" si="2"/>
        <v>40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37</v>
      </c>
      <c r="C18" s="45">
        <v>37</v>
      </c>
      <c r="D18" s="45">
        <v>37</v>
      </c>
      <c r="E18" s="45">
        <v>37</v>
      </c>
      <c r="F18" s="45">
        <v>37</v>
      </c>
      <c r="G18" s="45">
        <v>37</v>
      </c>
      <c r="H18" s="45">
        <v>37</v>
      </c>
      <c r="I18" s="45">
        <v>37</v>
      </c>
      <c r="J18" s="45">
        <v>37</v>
      </c>
      <c r="K18" s="45">
        <v>37</v>
      </c>
      <c r="L18" s="45">
        <v>37</v>
      </c>
      <c r="M18" s="45">
        <v>37</v>
      </c>
      <c r="N18" s="45">
        <v>37</v>
      </c>
      <c r="O18" s="45">
        <v>37</v>
      </c>
      <c r="P18" s="45">
        <v>37</v>
      </c>
      <c r="Q18" s="45">
        <v>37</v>
      </c>
      <c r="R18" s="45" t="s">
        <v>282</v>
      </c>
      <c r="S18" s="45" t="s">
        <v>282</v>
      </c>
      <c r="T18" s="45">
        <v>0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 t="s">
        <v>267</v>
      </c>
      <c r="S19" s="45" t="s">
        <v>267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18</v>
      </c>
      <c r="C20" s="45">
        <v>12</v>
      </c>
      <c r="D20" s="45">
        <v>12</v>
      </c>
      <c r="E20" s="45">
        <v>6</v>
      </c>
      <c r="F20" s="45">
        <v>6</v>
      </c>
      <c r="G20" s="45">
        <v>6</v>
      </c>
      <c r="H20" s="45">
        <v>20</v>
      </c>
      <c r="I20" s="45">
        <v>20</v>
      </c>
      <c r="J20" s="45">
        <v>30</v>
      </c>
      <c r="K20" s="45">
        <v>30</v>
      </c>
      <c r="L20" s="45">
        <v>30</v>
      </c>
      <c r="M20" s="45">
        <v>30</v>
      </c>
      <c r="N20" s="45">
        <v>30</v>
      </c>
      <c r="O20" s="45">
        <v>20.5</v>
      </c>
      <c r="P20" s="45">
        <v>20.5</v>
      </c>
      <c r="Q20" s="45">
        <v>20.5</v>
      </c>
      <c r="R20" s="45" t="s">
        <v>268</v>
      </c>
      <c r="S20" s="45" t="s">
        <v>268</v>
      </c>
      <c r="T20" s="45">
        <v>30</v>
      </c>
      <c r="U20" s="45">
        <v>30</v>
      </c>
      <c r="V20" s="45">
        <v>30</v>
      </c>
      <c r="W20" s="45">
        <v>30</v>
      </c>
      <c r="X20" s="45">
        <v>30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25</v>
      </c>
      <c r="AE20" s="45">
        <v>15</v>
      </c>
      <c r="AF20" s="45">
        <v>20</v>
      </c>
      <c r="AG20" s="51">
        <v>30</v>
      </c>
      <c r="AH20" s="47">
        <f t="shared" si="2"/>
        <v>30</v>
      </c>
      <c r="AI20" s="48">
        <f t="shared" si="3"/>
        <v>6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</v>
      </c>
      <c r="C21" s="45">
        <v>33</v>
      </c>
      <c r="D21" s="45">
        <v>33</v>
      </c>
      <c r="E21" s="45">
        <v>33.9</v>
      </c>
      <c r="F21" s="45">
        <v>33.9</v>
      </c>
      <c r="G21" s="45">
        <v>33.9</v>
      </c>
      <c r="H21" s="45">
        <v>33.9</v>
      </c>
      <c r="I21" s="45">
        <v>33.9</v>
      </c>
      <c r="J21" s="45">
        <v>33.9</v>
      </c>
      <c r="K21" s="45">
        <v>33.9</v>
      </c>
      <c r="L21" s="45">
        <v>33.9</v>
      </c>
      <c r="M21" s="45">
        <v>33.9</v>
      </c>
      <c r="N21" s="45">
        <v>33.9</v>
      </c>
      <c r="O21" s="45">
        <v>33</v>
      </c>
      <c r="P21" s="45">
        <v>33</v>
      </c>
      <c r="Q21" s="45">
        <v>33</v>
      </c>
      <c r="R21" s="45" t="s">
        <v>266</v>
      </c>
      <c r="S21" s="45" t="s">
        <v>266</v>
      </c>
      <c r="T21" s="45">
        <v>20.6</v>
      </c>
      <c r="U21" s="45">
        <v>20.6</v>
      </c>
      <c r="V21" s="45">
        <v>20.6</v>
      </c>
      <c r="W21" s="45">
        <v>20.6</v>
      </c>
      <c r="X21" s="45">
        <v>20.6</v>
      </c>
      <c r="Y21" s="45">
        <v>20.6</v>
      </c>
      <c r="Z21" s="45">
        <v>20.6</v>
      </c>
      <c r="AA21" s="45">
        <v>20.6</v>
      </c>
      <c r="AB21" s="45">
        <v>20.6</v>
      </c>
      <c r="AC21" s="45">
        <v>20.6</v>
      </c>
      <c r="AD21" s="45">
        <v>20.6</v>
      </c>
      <c r="AE21" s="45">
        <v>20.6</v>
      </c>
      <c r="AF21" s="45">
        <v>20.6</v>
      </c>
      <c r="AG21" s="49">
        <v>24.2</v>
      </c>
      <c r="AH21" s="47">
        <f t="shared" si="2"/>
        <v>33.9</v>
      </c>
      <c r="AI21" s="48">
        <f t="shared" si="3"/>
        <v>20.6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28.5</v>
      </c>
      <c r="E22" s="45">
        <v>29.5</v>
      </c>
      <c r="F22" s="45">
        <v>29.5</v>
      </c>
      <c r="G22" s="45">
        <v>29.5</v>
      </c>
      <c r="H22" s="45">
        <v>29.5</v>
      </c>
      <c r="I22" s="45">
        <v>29.5</v>
      </c>
      <c r="J22" s="45">
        <v>29.5</v>
      </c>
      <c r="K22" s="45">
        <v>29.5</v>
      </c>
      <c r="L22" s="45">
        <v>29.5</v>
      </c>
      <c r="M22" s="45">
        <v>29.5</v>
      </c>
      <c r="N22" s="45">
        <v>29.5</v>
      </c>
      <c r="O22" s="45">
        <v>28.6</v>
      </c>
      <c r="P22" s="45">
        <v>28.6</v>
      </c>
      <c r="Q22" s="45">
        <v>28.6</v>
      </c>
      <c r="R22" s="45" t="s">
        <v>281</v>
      </c>
      <c r="S22" s="45" t="s">
        <v>281</v>
      </c>
      <c r="T22" s="45">
        <v>20.8</v>
      </c>
      <c r="U22" s="45">
        <v>20.8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29.5</v>
      </c>
      <c r="AI22" s="48">
        <f t="shared" si="3"/>
        <v>20.8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f>27*0.6</f>
        <v>16.2</v>
      </c>
      <c r="C23" s="45">
        <f>27*0.4</f>
        <v>10.8</v>
      </c>
      <c r="D23" s="45">
        <f>27*0.2</f>
        <v>5.4</v>
      </c>
      <c r="E23" s="45">
        <f>27*0.2</f>
        <v>5.4</v>
      </c>
      <c r="F23" s="45">
        <f>27*0.2</f>
        <v>5.4</v>
      </c>
      <c r="G23" s="45">
        <f>27*0.2</f>
        <v>5.4</v>
      </c>
      <c r="H23" s="45">
        <f>0.6*27</f>
        <v>16.2</v>
      </c>
      <c r="I23" s="45">
        <f>0.6*27</f>
        <v>16.2</v>
      </c>
      <c r="J23" s="45">
        <v>27</v>
      </c>
      <c r="K23" s="45">
        <v>27</v>
      </c>
      <c r="L23" s="45">
        <v>27</v>
      </c>
      <c r="M23" s="45">
        <v>27</v>
      </c>
      <c r="N23" s="45">
        <v>27</v>
      </c>
      <c r="O23" s="45">
        <v>19</v>
      </c>
      <c r="P23" s="45">
        <v>19</v>
      </c>
      <c r="Q23" s="45">
        <v>19</v>
      </c>
      <c r="R23" s="45" t="s">
        <v>265</v>
      </c>
      <c r="S23" s="45" t="s">
        <v>265</v>
      </c>
      <c r="T23" s="45">
        <v>27</v>
      </c>
      <c r="U23" s="45">
        <v>27</v>
      </c>
      <c r="V23" s="45">
        <v>27</v>
      </c>
      <c r="W23" s="45">
        <v>27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22</v>
      </c>
      <c r="AE23" s="45">
        <v>13.5</v>
      </c>
      <c r="AF23" s="45">
        <v>18</v>
      </c>
      <c r="AG23" s="51">
        <v>30</v>
      </c>
      <c r="AH23" s="47">
        <f t="shared" si="2"/>
        <v>27</v>
      </c>
      <c r="AI23" s="48">
        <f t="shared" si="3"/>
        <v>5.4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24.1</v>
      </c>
      <c r="C24" s="45">
        <v>24.1</v>
      </c>
      <c r="D24" s="45">
        <v>24.1</v>
      </c>
      <c r="E24" s="45">
        <v>24.1</v>
      </c>
      <c r="F24" s="45">
        <v>26</v>
      </c>
      <c r="G24" s="45">
        <v>26</v>
      </c>
      <c r="H24" s="45">
        <v>26</v>
      </c>
      <c r="I24" s="45">
        <v>26.2</v>
      </c>
      <c r="J24" s="45">
        <v>26.2</v>
      </c>
      <c r="K24" s="45">
        <v>26.2</v>
      </c>
      <c r="L24" s="45">
        <v>26.2</v>
      </c>
      <c r="M24" s="45">
        <v>26.2</v>
      </c>
      <c r="N24" s="45">
        <v>26.2</v>
      </c>
      <c r="O24" s="45">
        <v>26.2</v>
      </c>
      <c r="P24" s="45">
        <v>26.2</v>
      </c>
      <c r="Q24" s="45">
        <v>26.2</v>
      </c>
      <c r="R24" s="45" t="s">
        <v>283</v>
      </c>
      <c r="S24" s="45" t="s">
        <v>283</v>
      </c>
      <c r="T24" s="45">
        <v>26.3</v>
      </c>
      <c r="U24" s="45">
        <v>26.3</v>
      </c>
      <c r="V24" s="45">
        <v>26.3</v>
      </c>
      <c r="W24" s="45">
        <v>26.3</v>
      </c>
      <c r="X24" s="45">
        <v>26.3</v>
      </c>
      <c r="Y24" s="45">
        <v>26.3</v>
      </c>
      <c r="Z24" s="45">
        <v>26.3</v>
      </c>
      <c r="AA24" s="45">
        <v>26.3</v>
      </c>
      <c r="AB24" s="45">
        <v>26.3</v>
      </c>
      <c r="AC24" s="45">
        <v>26.3</v>
      </c>
      <c r="AD24" s="45">
        <v>26.3</v>
      </c>
      <c r="AE24" s="45">
        <v>26.3</v>
      </c>
      <c r="AF24" s="45">
        <v>26.3</v>
      </c>
      <c r="AG24" s="49">
        <v>25</v>
      </c>
      <c r="AH24" s="47">
        <f t="shared" si="2"/>
        <v>26.3</v>
      </c>
      <c r="AI24" s="48">
        <f t="shared" si="3"/>
        <v>24.1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 t="s">
        <v>270</v>
      </c>
      <c r="S25" s="45" t="s">
        <v>270</v>
      </c>
      <c r="T25" s="45">
        <v>25</v>
      </c>
      <c r="U25" s="45">
        <v>25</v>
      </c>
      <c r="V25" s="45">
        <v>25</v>
      </c>
      <c r="W25" s="45">
        <v>25</v>
      </c>
      <c r="X25" s="45">
        <v>25</v>
      </c>
      <c r="Y25" s="45">
        <v>25</v>
      </c>
      <c r="Z25" s="45">
        <v>25</v>
      </c>
      <c r="AA25" s="45">
        <v>25</v>
      </c>
      <c r="AB25" s="45">
        <v>25</v>
      </c>
      <c r="AC25" s="45">
        <v>25</v>
      </c>
      <c r="AD25" s="45">
        <v>25</v>
      </c>
      <c r="AE25" s="45">
        <v>25</v>
      </c>
      <c r="AF25" s="45">
        <v>25</v>
      </c>
      <c r="AG25" s="49">
        <v>25</v>
      </c>
      <c r="AH25" s="47">
        <f t="shared" si="2"/>
        <v>25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 t="s">
        <v>282</v>
      </c>
      <c r="S26" s="45" t="s">
        <v>282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f>25*0.6</f>
        <v>15</v>
      </c>
      <c r="C27" s="45">
        <f>25*0.4</f>
        <v>10</v>
      </c>
      <c r="D27" s="45">
        <v>5</v>
      </c>
      <c r="E27" s="45">
        <v>5</v>
      </c>
      <c r="F27" s="45">
        <v>5</v>
      </c>
      <c r="G27" s="45">
        <v>5</v>
      </c>
      <c r="H27" s="45">
        <v>15</v>
      </c>
      <c r="I27" s="45">
        <v>15</v>
      </c>
      <c r="J27" s="45">
        <v>25</v>
      </c>
      <c r="K27" s="45">
        <v>25</v>
      </c>
      <c r="L27" s="45">
        <v>25</v>
      </c>
      <c r="M27" s="45">
        <v>25</v>
      </c>
      <c r="N27" s="45">
        <v>25</v>
      </c>
      <c r="O27" s="45">
        <v>15</v>
      </c>
      <c r="P27" s="45">
        <v>15</v>
      </c>
      <c r="Q27" s="45">
        <v>15</v>
      </c>
      <c r="R27" s="45"/>
      <c r="S27" s="45"/>
      <c r="T27" s="45">
        <v>25</v>
      </c>
      <c r="U27" s="45">
        <v>25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21</v>
      </c>
      <c r="AE27" s="45">
        <v>12.5</v>
      </c>
      <c r="AF27" s="45">
        <v>17</v>
      </c>
      <c r="AG27" s="49">
        <v>25</v>
      </c>
      <c r="AH27" s="47">
        <f t="shared" si="2"/>
        <v>25</v>
      </c>
      <c r="AI27" s="48">
        <f t="shared" si="3"/>
        <v>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>
        <v>24.8</v>
      </c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/>
      <c r="S28" s="45"/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/>
      <c r="S29" s="45"/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/>
      <c r="S30" s="45"/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/>
      <c r="S31" s="45"/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/>
      <c r="S32" s="45"/>
      <c r="T32" s="45">
        <v>0</v>
      </c>
      <c r="U32" s="45">
        <v>0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178">
        <v>5</v>
      </c>
      <c r="C33" s="178">
        <v>5</v>
      </c>
      <c r="D33" s="178">
        <v>5</v>
      </c>
      <c r="E33" s="178">
        <v>0</v>
      </c>
      <c r="F33" s="178">
        <v>0</v>
      </c>
      <c r="G33" s="178">
        <v>0</v>
      </c>
      <c r="H33" s="178">
        <v>0</v>
      </c>
      <c r="I33" s="178">
        <v>0</v>
      </c>
      <c r="J33" s="178">
        <v>10</v>
      </c>
      <c r="K33" s="178">
        <v>10</v>
      </c>
      <c r="L33" s="178">
        <v>10</v>
      </c>
      <c r="M33" s="178">
        <v>10</v>
      </c>
      <c r="N33" s="178">
        <v>10</v>
      </c>
      <c r="O33" s="178">
        <v>10</v>
      </c>
      <c r="P33" s="178">
        <v>10</v>
      </c>
      <c r="Q33" s="178">
        <v>10</v>
      </c>
      <c r="R33" s="45"/>
      <c r="S33" s="45"/>
      <c r="T33" s="45">
        <v>0</v>
      </c>
      <c r="U33" s="45">
        <v>0</v>
      </c>
      <c r="V33" s="45">
        <v>10</v>
      </c>
      <c r="W33" s="45">
        <v>10</v>
      </c>
      <c r="X33" s="45">
        <v>10</v>
      </c>
      <c r="Y33" s="45">
        <v>10</v>
      </c>
      <c r="Z33" s="45">
        <v>10</v>
      </c>
      <c r="AA33" s="45">
        <v>10</v>
      </c>
      <c r="AB33" s="45">
        <v>10</v>
      </c>
      <c r="AC33" s="45">
        <v>5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178">
        <v>0</v>
      </c>
      <c r="C34" s="178">
        <v>0</v>
      </c>
      <c r="D34" s="178">
        <v>0</v>
      </c>
      <c r="E34" s="178">
        <v>0</v>
      </c>
      <c r="F34" s="178"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4</v>
      </c>
      <c r="O34" s="178">
        <v>4</v>
      </c>
      <c r="P34" s="178">
        <v>4</v>
      </c>
      <c r="Q34" s="178">
        <v>4</v>
      </c>
      <c r="R34" s="45"/>
      <c r="S34" s="45"/>
      <c r="T34" s="45">
        <v>9</v>
      </c>
      <c r="U34" s="45">
        <v>9</v>
      </c>
      <c r="V34" s="45">
        <v>9</v>
      </c>
      <c r="W34" s="45">
        <v>9</v>
      </c>
      <c r="X34" s="45">
        <v>0</v>
      </c>
      <c r="Y34" s="45">
        <v>0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15.33</v>
      </c>
      <c r="C35" s="45">
        <v>15.33</v>
      </c>
      <c r="D35" s="45">
        <v>15.33</v>
      </c>
      <c r="E35" s="45">
        <v>15.33</v>
      </c>
      <c r="F35" s="45">
        <v>15.33</v>
      </c>
      <c r="G35" s="45">
        <v>15.33</v>
      </c>
      <c r="H35" s="45">
        <v>15.33</v>
      </c>
      <c r="I35" s="45">
        <v>15.33</v>
      </c>
      <c r="J35" s="45">
        <v>15.33</v>
      </c>
      <c r="K35" s="45">
        <v>15.33</v>
      </c>
      <c r="L35" s="45">
        <v>15.33</v>
      </c>
      <c r="M35" s="45">
        <v>15.33</v>
      </c>
      <c r="N35" s="45">
        <v>15.33</v>
      </c>
      <c r="O35" s="45">
        <v>15.33</v>
      </c>
      <c r="P35" s="45">
        <v>15.33</v>
      </c>
      <c r="Q35" s="45">
        <v>15.33</v>
      </c>
      <c r="R35" s="45"/>
      <c r="S35" s="45"/>
      <c r="T35" s="45">
        <v>0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15.33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/>
      <c r="S36" s="45"/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/>
      <c r="S37" s="45"/>
      <c r="T37" s="45">
        <v>0</v>
      </c>
      <c r="U37" s="45">
        <v>0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/>
      <c r="S38" s="45"/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9.6</v>
      </c>
      <c r="C39" s="45">
        <v>4.8</v>
      </c>
      <c r="D39" s="45">
        <v>4.8</v>
      </c>
      <c r="E39" s="45">
        <v>2.4</v>
      </c>
      <c r="F39" s="45">
        <v>2.4</v>
      </c>
      <c r="G39" s="45">
        <v>2.4</v>
      </c>
      <c r="H39" s="45">
        <v>7.2</v>
      </c>
      <c r="I39" s="45">
        <v>7.2</v>
      </c>
      <c r="J39" s="45">
        <v>12</v>
      </c>
      <c r="K39" s="45">
        <v>12</v>
      </c>
      <c r="L39" s="45">
        <v>12</v>
      </c>
      <c r="M39" s="45">
        <v>12</v>
      </c>
      <c r="N39" s="45">
        <v>12</v>
      </c>
      <c r="O39" s="45">
        <v>10</v>
      </c>
      <c r="P39" s="45">
        <v>10</v>
      </c>
      <c r="Q39" s="45">
        <v>10</v>
      </c>
      <c r="R39" s="45"/>
      <c r="S39" s="45"/>
      <c r="T39" s="45">
        <v>12</v>
      </c>
      <c r="U39" s="45">
        <v>12</v>
      </c>
      <c r="V39" s="45">
        <v>12</v>
      </c>
      <c r="W39" s="45">
        <v>12</v>
      </c>
      <c r="X39" s="45">
        <v>12</v>
      </c>
      <c r="Y39" s="45">
        <v>12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6</v>
      </c>
      <c r="AF39" s="45">
        <v>6</v>
      </c>
      <c r="AG39" s="49">
        <v>12</v>
      </c>
      <c r="AH39" s="47">
        <f t="shared" si="2"/>
        <v>12</v>
      </c>
      <c r="AI39" s="48">
        <f t="shared" si="3"/>
        <v>2.4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9.3000000000000007</v>
      </c>
      <c r="C40" s="45">
        <v>9.3000000000000007</v>
      </c>
      <c r="D40" s="45">
        <v>9.3000000000000007</v>
      </c>
      <c r="E40" s="45">
        <v>9.3000000000000007</v>
      </c>
      <c r="F40" s="45">
        <v>9.3000000000000007</v>
      </c>
      <c r="G40" s="45">
        <v>9.3000000000000007</v>
      </c>
      <c r="H40" s="45">
        <v>9.3000000000000007</v>
      </c>
      <c r="I40" s="45">
        <v>9.3000000000000007</v>
      </c>
      <c r="J40" s="45">
        <v>9.3000000000000007</v>
      </c>
      <c r="K40" s="45">
        <v>9.3000000000000007</v>
      </c>
      <c r="L40" s="45">
        <v>9.3000000000000007</v>
      </c>
      <c r="M40" s="45">
        <v>9.3000000000000007</v>
      </c>
      <c r="N40" s="45">
        <v>9.3000000000000007</v>
      </c>
      <c r="O40" s="45">
        <v>9.3000000000000007</v>
      </c>
      <c r="P40" s="45">
        <v>9.3000000000000007</v>
      </c>
      <c r="Q40" s="45">
        <v>9.3000000000000007</v>
      </c>
      <c r="R40" s="45"/>
      <c r="S40" s="45"/>
      <c r="T40" s="45">
        <v>9.3000000000000007</v>
      </c>
      <c r="U40" s="45">
        <v>9.3000000000000007</v>
      </c>
      <c r="V40" s="45">
        <v>9.3000000000000007</v>
      </c>
      <c r="W40" s="45">
        <v>9.3000000000000007</v>
      </c>
      <c r="X40" s="45">
        <v>9.3000000000000007</v>
      </c>
      <c r="Y40" s="45">
        <v>9.3000000000000007</v>
      </c>
      <c r="Z40" s="45">
        <v>9.3000000000000007</v>
      </c>
      <c r="AA40" s="45">
        <v>9.3000000000000007</v>
      </c>
      <c r="AB40" s="45">
        <v>9.3000000000000007</v>
      </c>
      <c r="AC40" s="45">
        <v>9.3000000000000007</v>
      </c>
      <c r="AD40" s="45">
        <v>9.3000000000000007</v>
      </c>
      <c r="AE40" s="45">
        <v>9.3000000000000007</v>
      </c>
      <c r="AF40" s="45">
        <v>9.3000000000000007</v>
      </c>
      <c r="AG40" s="49">
        <v>12</v>
      </c>
      <c r="AH40" s="47">
        <f t="shared" si="2"/>
        <v>9.3000000000000007</v>
      </c>
      <c r="AI40" s="48">
        <f t="shared" si="3"/>
        <v>9.3000000000000007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5</v>
      </c>
      <c r="C41" s="45">
        <v>5</v>
      </c>
      <c r="D41" s="45">
        <v>5</v>
      </c>
      <c r="E41" s="45">
        <v>5</v>
      </c>
      <c r="F41" s="45">
        <v>5</v>
      </c>
      <c r="G41" s="45">
        <v>5</v>
      </c>
      <c r="H41" s="45">
        <v>5</v>
      </c>
      <c r="I41" s="45">
        <v>5</v>
      </c>
      <c r="J41" s="45">
        <v>5</v>
      </c>
      <c r="K41" s="45">
        <v>5</v>
      </c>
      <c r="L41" s="45">
        <v>5</v>
      </c>
      <c r="M41" s="45">
        <v>5</v>
      </c>
      <c r="N41" s="45">
        <v>5</v>
      </c>
      <c r="O41" s="45">
        <v>5</v>
      </c>
      <c r="P41" s="45">
        <v>5</v>
      </c>
      <c r="Q41" s="45">
        <v>5</v>
      </c>
      <c r="R41" s="45"/>
      <c r="S41" s="45"/>
      <c r="T41" s="45">
        <v>5</v>
      </c>
      <c r="U41" s="45">
        <v>5</v>
      </c>
      <c r="V41" s="45">
        <v>5</v>
      </c>
      <c r="W41" s="45">
        <v>5</v>
      </c>
      <c r="X41" s="45">
        <v>5</v>
      </c>
      <c r="Y41" s="45">
        <v>5</v>
      </c>
      <c r="Z41" s="45">
        <v>5</v>
      </c>
      <c r="AA41" s="45">
        <v>5</v>
      </c>
      <c r="AB41" s="45">
        <v>5</v>
      </c>
      <c r="AC41" s="45">
        <v>5</v>
      </c>
      <c r="AD41" s="45">
        <v>5</v>
      </c>
      <c r="AE41" s="45">
        <v>5</v>
      </c>
      <c r="AF41" s="45">
        <v>5</v>
      </c>
      <c r="AG41" s="49">
        <v>12</v>
      </c>
      <c r="AH41" s="47">
        <f t="shared" si="2"/>
        <v>5</v>
      </c>
      <c r="AI41" s="48">
        <f t="shared" si="3"/>
        <v>5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8</v>
      </c>
      <c r="C42" s="45">
        <v>8</v>
      </c>
      <c r="D42" s="45">
        <v>8</v>
      </c>
      <c r="E42" s="45">
        <v>8</v>
      </c>
      <c r="F42" s="45">
        <v>8</v>
      </c>
      <c r="G42" s="45">
        <v>8</v>
      </c>
      <c r="H42" s="45">
        <v>8</v>
      </c>
      <c r="I42" s="45">
        <v>8</v>
      </c>
      <c r="J42" s="45">
        <v>8</v>
      </c>
      <c r="K42" s="45">
        <v>8</v>
      </c>
      <c r="L42" s="45">
        <v>8</v>
      </c>
      <c r="M42" s="45">
        <v>8</v>
      </c>
      <c r="N42" s="45">
        <v>8</v>
      </c>
      <c r="O42" s="45">
        <v>8</v>
      </c>
      <c r="P42" s="45">
        <v>8</v>
      </c>
      <c r="Q42" s="45">
        <v>8</v>
      </c>
      <c r="R42" s="45"/>
      <c r="S42" s="45"/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8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/>
      <c r="S43" s="45"/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/>
      <c r="S44" s="45"/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9</v>
      </c>
      <c r="Q45" s="45">
        <v>9</v>
      </c>
      <c r="R45" s="45"/>
      <c r="S45" s="45"/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9</v>
      </c>
      <c r="AI45" s="48">
        <f t="shared" si="3"/>
        <v>9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/>
      <c r="S46" s="45"/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/>
      <c r="S47" s="45"/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/>
      <c r="S48" s="56"/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f>36.8+92.8</f>
        <v>129.6</v>
      </c>
      <c r="C49" s="56">
        <f>37+92.9</f>
        <v>129.9</v>
      </c>
      <c r="D49" s="56">
        <f>36.9+93.3</f>
        <v>130.19999999999999</v>
      </c>
      <c r="E49" s="58">
        <f>93+37</f>
        <v>130</v>
      </c>
      <c r="F49" s="58">
        <f>92.9+36.9</f>
        <v>129.80000000000001</v>
      </c>
      <c r="G49" s="58">
        <f>92.5+36.5</f>
        <v>129</v>
      </c>
      <c r="H49" s="58">
        <f>91.9+36.4</f>
        <v>128.30000000000001</v>
      </c>
      <c r="I49" s="58">
        <f>91.5+36.3</f>
        <v>127.8</v>
      </c>
      <c r="J49" s="58">
        <f>90.7+35.6</f>
        <v>126.30000000000001</v>
      </c>
      <c r="K49" s="58">
        <f>90.5+35.7</f>
        <v>126.2</v>
      </c>
      <c r="L49" s="58">
        <f t="shared" ref="L49:Q49" si="4">90.2+35.4</f>
        <v>125.6</v>
      </c>
      <c r="M49" s="58">
        <f t="shared" si="4"/>
        <v>125.6</v>
      </c>
      <c r="N49" s="58">
        <f t="shared" si="4"/>
        <v>125.6</v>
      </c>
      <c r="O49" s="58">
        <f t="shared" si="4"/>
        <v>125.6</v>
      </c>
      <c r="P49" s="58">
        <f t="shared" si="4"/>
        <v>125.6</v>
      </c>
      <c r="Q49" s="58">
        <f t="shared" si="4"/>
        <v>125.6</v>
      </c>
      <c r="R49" s="58"/>
      <c r="S49" s="58"/>
      <c r="T49" s="58">
        <f>35.3+91.6</f>
        <v>126.89999999999999</v>
      </c>
      <c r="U49" s="58">
        <f>35.3+91.6</f>
        <v>126.89999999999999</v>
      </c>
      <c r="V49" s="58">
        <f>35.3+91.6</f>
        <v>126.89999999999999</v>
      </c>
      <c r="W49" s="58">
        <f>33.3+84.4</f>
        <v>117.7</v>
      </c>
      <c r="X49" s="58">
        <f>33.3+84.4</f>
        <v>117.7</v>
      </c>
      <c r="Y49" s="58">
        <f>33.3+84.4</f>
        <v>117.7</v>
      </c>
      <c r="Z49" s="56">
        <f>34.1+85.6</f>
        <v>119.69999999999999</v>
      </c>
      <c r="AA49" s="56">
        <f>34.1+85.6</f>
        <v>119.69999999999999</v>
      </c>
      <c r="AB49" s="56">
        <v>112.8</v>
      </c>
      <c r="AC49" s="56">
        <v>112.8</v>
      </c>
      <c r="AD49" s="56">
        <v>117.2</v>
      </c>
      <c r="AE49" s="56">
        <v>127.8</v>
      </c>
      <c r="AF49" s="56">
        <v>127.8</v>
      </c>
      <c r="AG49" s="54">
        <v>240</v>
      </c>
      <c r="AH49" s="47">
        <f t="shared" si="2"/>
        <v>130.19999999999999</v>
      </c>
      <c r="AI49" s="48">
        <f t="shared" si="3"/>
        <v>112.8</v>
      </c>
      <c r="AK49" s="50"/>
    </row>
    <row r="50" spans="1:41" ht="15.75" thickBot="1" x14ac:dyDescent="0.3">
      <c r="A50" s="59" t="s">
        <v>58</v>
      </c>
      <c r="B50" s="60">
        <f>SUM(B11:B48)</f>
        <v>1160.53</v>
      </c>
      <c r="C50" s="60">
        <f>SUM(C11:C48)</f>
        <v>1138.0300000000002</v>
      </c>
      <c r="D50" s="60">
        <f>SUM(D11:D48)</f>
        <v>1127.6300000000001</v>
      </c>
      <c r="E50" s="60">
        <f t="shared" ref="E50:AF50" si="5">SUM(E11:E48)</f>
        <v>1117.03</v>
      </c>
      <c r="F50" s="60">
        <f t="shared" si="5"/>
        <v>1118.9299999999998</v>
      </c>
      <c r="G50" s="60">
        <f t="shared" si="5"/>
        <v>1118.9299999999998</v>
      </c>
      <c r="H50" s="60">
        <f t="shared" si="5"/>
        <v>1158.53</v>
      </c>
      <c r="I50" s="60">
        <f t="shared" si="5"/>
        <v>1158.73</v>
      </c>
      <c r="J50" s="60">
        <f t="shared" si="5"/>
        <v>1204.33</v>
      </c>
      <c r="K50" s="60">
        <f t="shared" si="5"/>
        <v>1211.33</v>
      </c>
      <c r="L50" s="60">
        <f t="shared" si="5"/>
        <v>1211.33</v>
      </c>
      <c r="M50" s="60">
        <f t="shared" si="5"/>
        <v>1211.33</v>
      </c>
      <c r="N50" s="60">
        <f t="shared" si="5"/>
        <v>1211.33</v>
      </c>
      <c r="O50" s="60">
        <f t="shared" si="5"/>
        <v>1178.03</v>
      </c>
      <c r="P50" s="60">
        <f t="shared" si="5"/>
        <v>1179.03</v>
      </c>
      <c r="Q50" s="60">
        <f t="shared" si="5"/>
        <v>1174.03</v>
      </c>
      <c r="R50" s="60">
        <f t="shared" si="5"/>
        <v>0</v>
      </c>
      <c r="S50" s="60">
        <f>SUM(S11:S48)</f>
        <v>0</v>
      </c>
      <c r="T50" s="60">
        <f t="shared" si="5"/>
        <v>1057.3</v>
      </c>
      <c r="U50" s="60">
        <f t="shared" si="5"/>
        <v>1110.3</v>
      </c>
      <c r="V50" s="60">
        <f t="shared" si="5"/>
        <v>1228.3</v>
      </c>
      <c r="W50" s="60">
        <f t="shared" si="5"/>
        <v>1228.3</v>
      </c>
      <c r="X50" s="60">
        <f t="shared" si="5"/>
        <v>1231.3</v>
      </c>
      <c r="Y50" s="60">
        <f t="shared" si="5"/>
        <v>1231.3</v>
      </c>
      <c r="Z50" s="60">
        <f t="shared" si="5"/>
        <v>1231.3</v>
      </c>
      <c r="AA50" s="60">
        <f t="shared" si="5"/>
        <v>1229.3</v>
      </c>
      <c r="AB50" s="60">
        <f t="shared" si="5"/>
        <v>1226.3</v>
      </c>
      <c r="AC50" s="60">
        <f t="shared" si="5"/>
        <v>1216.3</v>
      </c>
      <c r="AD50" s="60">
        <f t="shared" si="5"/>
        <v>1202.3</v>
      </c>
      <c r="AE50" s="60">
        <f t="shared" si="5"/>
        <v>1169.3000000000002</v>
      </c>
      <c r="AF50" s="60">
        <f t="shared" si="5"/>
        <v>1183.3000000000002</v>
      </c>
      <c r="AG50" s="61">
        <f>SUM(AG13:AG48)</f>
        <v>922.14</v>
      </c>
      <c r="AH50" s="47">
        <f t="shared" si="2"/>
        <v>1231.3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175"/>
      <c r="S51" s="45"/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/>
      <c r="S52" s="64"/>
      <c r="T52" s="64">
        <v>50</v>
      </c>
      <c r="U52" s="64">
        <v>50</v>
      </c>
      <c r="V52" s="64">
        <v>50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/>
      <c r="S53" s="66"/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>SUM(B51:B53)</f>
        <v>538.4</v>
      </c>
      <c r="C54" s="60">
        <f>SUM(C51:C53)</f>
        <v>538.4</v>
      </c>
      <c r="D54" s="60">
        <f>SUM(D51:D53)</f>
        <v>538.4</v>
      </c>
      <c r="E54" s="60">
        <f t="shared" ref="E54:AG54" si="6">SUM(E51:E53)</f>
        <v>538.4</v>
      </c>
      <c r="F54" s="60">
        <f t="shared" si="6"/>
        <v>538.4</v>
      </c>
      <c r="G54" s="60">
        <f t="shared" si="6"/>
        <v>538.4</v>
      </c>
      <c r="H54" s="60">
        <f t="shared" si="6"/>
        <v>538.4</v>
      </c>
      <c r="I54" s="60">
        <f t="shared" si="6"/>
        <v>538.4</v>
      </c>
      <c r="J54" s="60">
        <f t="shared" si="6"/>
        <v>538.4</v>
      </c>
      <c r="K54" s="60">
        <f t="shared" si="6"/>
        <v>538.4</v>
      </c>
      <c r="L54" s="60">
        <f t="shared" si="6"/>
        <v>538.4</v>
      </c>
      <c r="M54" s="60">
        <f t="shared" si="6"/>
        <v>538.4</v>
      </c>
      <c r="N54" s="60">
        <f t="shared" si="6"/>
        <v>538.4</v>
      </c>
      <c r="O54" s="60">
        <f t="shared" si="6"/>
        <v>538.4</v>
      </c>
      <c r="P54" s="60">
        <f t="shared" si="6"/>
        <v>538.4</v>
      </c>
      <c r="Q54" s="60">
        <f t="shared" si="6"/>
        <v>538.4</v>
      </c>
      <c r="R54" s="60">
        <f t="shared" si="6"/>
        <v>0</v>
      </c>
      <c r="S54" s="60">
        <f t="shared" si="6"/>
        <v>0</v>
      </c>
      <c r="T54" s="60">
        <f t="shared" si="6"/>
        <v>528.4</v>
      </c>
      <c r="U54" s="60">
        <f t="shared" si="6"/>
        <v>528.4</v>
      </c>
      <c r="V54" s="60">
        <f t="shared" si="6"/>
        <v>528.4</v>
      </c>
      <c r="W54" s="60">
        <f t="shared" si="6"/>
        <v>538.4</v>
      </c>
      <c r="X54" s="60">
        <f t="shared" si="6"/>
        <v>538.4</v>
      </c>
      <c r="Y54" s="60">
        <f t="shared" si="6"/>
        <v>538.4</v>
      </c>
      <c r="Z54" s="60">
        <f t="shared" si="6"/>
        <v>538.4</v>
      </c>
      <c r="AA54" s="60">
        <f t="shared" si="6"/>
        <v>538.4</v>
      </c>
      <c r="AB54" s="60">
        <f t="shared" si="6"/>
        <v>538.4</v>
      </c>
      <c r="AC54" s="60">
        <f t="shared" si="6"/>
        <v>538.4</v>
      </c>
      <c r="AD54" s="60">
        <f t="shared" si="6"/>
        <v>538.4</v>
      </c>
      <c r="AE54" s="60">
        <f t="shared" si="6"/>
        <v>538.4</v>
      </c>
      <c r="AF54" s="60">
        <f t="shared" si="6"/>
        <v>538.4</v>
      </c>
      <c r="AG54" s="61">
        <f t="shared" si="6"/>
        <v>538.1</v>
      </c>
      <c r="AH54" s="47">
        <f t="shared" si="2"/>
        <v>538.4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143.4</v>
      </c>
      <c r="C55" s="45">
        <v>143.80000000000001</v>
      </c>
      <c r="D55" s="45">
        <v>143.80000000000001</v>
      </c>
      <c r="E55" s="45">
        <v>144</v>
      </c>
      <c r="F55" s="45">
        <v>144.5</v>
      </c>
      <c r="G55" s="45">
        <v>145.1</v>
      </c>
      <c r="H55" s="45">
        <v>145.1</v>
      </c>
      <c r="I55" s="45">
        <v>144.9</v>
      </c>
      <c r="J55" s="45">
        <v>144.9</v>
      </c>
      <c r="K55" s="45">
        <v>144.9</v>
      </c>
      <c r="L55" s="45">
        <v>144.69999999999999</v>
      </c>
      <c r="M55" s="45">
        <v>144.69999999999999</v>
      </c>
      <c r="N55" s="45">
        <v>144.69999999999999</v>
      </c>
      <c r="O55" s="45">
        <v>145.30000000000001</v>
      </c>
      <c r="P55" s="45">
        <v>145.30000000000001</v>
      </c>
      <c r="Q55" s="45">
        <v>145.30000000000001</v>
      </c>
      <c r="R55" s="45"/>
      <c r="S55" s="45"/>
      <c r="T55" s="45">
        <v>145.4</v>
      </c>
      <c r="U55" s="45">
        <v>145.4</v>
      </c>
      <c r="V55" s="45">
        <v>145.4</v>
      </c>
      <c r="W55" s="45">
        <v>145</v>
      </c>
      <c r="X55" s="45">
        <v>145</v>
      </c>
      <c r="Y55" s="45">
        <v>145</v>
      </c>
      <c r="Z55" s="45">
        <v>145</v>
      </c>
      <c r="AA55" s="45">
        <v>145</v>
      </c>
      <c r="AB55" s="45">
        <v>145</v>
      </c>
      <c r="AC55" s="45">
        <v>145</v>
      </c>
      <c r="AD55" s="45">
        <v>145</v>
      </c>
      <c r="AE55" s="45">
        <v>145</v>
      </c>
      <c r="AF55" s="45">
        <v>145</v>
      </c>
      <c r="AG55" s="51">
        <v>144</v>
      </c>
      <c r="AH55" s="47">
        <f t="shared" si="2"/>
        <v>145.4</v>
      </c>
      <c r="AI55" s="48">
        <f t="shared" si="3"/>
        <v>143.4</v>
      </c>
      <c r="AK55" s="50"/>
    </row>
    <row r="56" spans="1:41" x14ac:dyDescent="0.25">
      <c r="A56" s="53" t="s">
        <v>64</v>
      </c>
      <c r="B56" s="45">
        <v>69.2</v>
      </c>
      <c r="C56" s="45">
        <v>69.5</v>
      </c>
      <c r="D56" s="45">
        <v>69.5</v>
      </c>
      <c r="E56" s="64">
        <v>68.8</v>
      </c>
      <c r="F56" s="64">
        <v>69.900000000000006</v>
      </c>
      <c r="G56" s="64">
        <v>70.3</v>
      </c>
      <c r="H56" s="64">
        <v>70.3</v>
      </c>
      <c r="I56" s="64">
        <v>69.3</v>
      </c>
      <c r="J56" s="64">
        <v>69.5</v>
      </c>
      <c r="K56" s="64">
        <v>69.5</v>
      </c>
      <c r="L56" s="64">
        <v>69.599999999999994</v>
      </c>
      <c r="M56" s="64">
        <v>69.599999999999994</v>
      </c>
      <c r="N56" s="64">
        <v>69.599999999999994</v>
      </c>
      <c r="O56" s="64">
        <v>70.400000000000006</v>
      </c>
      <c r="P56" s="64">
        <v>70.400000000000006</v>
      </c>
      <c r="Q56" s="64">
        <v>70.400000000000006</v>
      </c>
      <c r="R56" s="64"/>
      <c r="S56" s="45"/>
      <c r="T56" s="45">
        <v>69.8</v>
      </c>
      <c r="U56" s="45">
        <v>69.8</v>
      </c>
      <c r="V56" s="45">
        <v>69.8</v>
      </c>
      <c r="W56" s="45">
        <v>71</v>
      </c>
      <c r="X56" s="45">
        <v>71</v>
      </c>
      <c r="Y56" s="45">
        <v>71</v>
      </c>
      <c r="Z56" s="45">
        <v>71</v>
      </c>
      <c r="AA56" s="45">
        <v>71</v>
      </c>
      <c r="AB56" s="45">
        <v>71</v>
      </c>
      <c r="AC56" s="45">
        <v>71</v>
      </c>
      <c r="AD56" s="45">
        <v>71</v>
      </c>
      <c r="AE56" s="45">
        <v>71</v>
      </c>
      <c r="AF56" s="45">
        <v>71</v>
      </c>
      <c r="AG56" s="54">
        <v>70</v>
      </c>
      <c r="AH56" s="47">
        <f t="shared" si="2"/>
        <v>71</v>
      </c>
      <c r="AI56" s="48">
        <f t="shared" si="3"/>
        <v>68.8</v>
      </c>
      <c r="AK56" s="50"/>
    </row>
    <row r="57" spans="1:41" x14ac:dyDescent="0.25">
      <c r="A57" s="53" t="s">
        <v>65</v>
      </c>
      <c r="B57" s="45">
        <v>65.400000000000006</v>
      </c>
      <c r="C57" s="45">
        <v>66.599999999999994</v>
      </c>
      <c r="D57" s="45">
        <v>65.599999999999994</v>
      </c>
      <c r="E57" s="64">
        <v>66</v>
      </c>
      <c r="F57" s="64">
        <v>65.3</v>
      </c>
      <c r="G57" s="64">
        <v>65.7</v>
      </c>
      <c r="H57" s="64">
        <v>65.7</v>
      </c>
      <c r="I57" s="64">
        <v>65.900000000000006</v>
      </c>
      <c r="J57" s="64">
        <v>66.099999999999994</v>
      </c>
      <c r="K57" s="64">
        <v>66.099999999999994</v>
      </c>
      <c r="L57" s="64">
        <v>66.400000000000006</v>
      </c>
      <c r="M57" s="64">
        <v>66.400000000000006</v>
      </c>
      <c r="N57" s="64">
        <v>66.400000000000006</v>
      </c>
      <c r="O57" s="64">
        <v>66.2</v>
      </c>
      <c r="P57" s="64">
        <v>66.2</v>
      </c>
      <c r="Q57" s="64">
        <v>66.2</v>
      </c>
      <c r="R57" s="64"/>
      <c r="S57" s="45"/>
      <c r="T57" s="45">
        <v>65.7</v>
      </c>
      <c r="U57" s="45">
        <v>65.7</v>
      </c>
      <c r="V57" s="45">
        <v>65.7</v>
      </c>
      <c r="W57" s="45">
        <v>66.2</v>
      </c>
      <c r="X57" s="45">
        <v>66.2</v>
      </c>
      <c r="Y57" s="45">
        <v>66.2</v>
      </c>
      <c r="Z57" s="45">
        <v>66.2</v>
      </c>
      <c r="AA57" s="45">
        <v>66.2</v>
      </c>
      <c r="AB57" s="45">
        <v>66.2</v>
      </c>
      <c r="AC57" s="45">
        <v>66.2</v>
      </c>
      <c r="AD57" s="45">
        <v>66.2</v>
      </c>
      <c r="AE57" s="45">
        <v>66.2</v>
      </c>
      <c r="AF57" s="45">
        <v>66.2</v>
      </c>
      <c r="AG57" s="54">
        <v>69</v>
      </c>
      <c r="AH57" s="47">
        <f t="shared" si="2"/>
        <v>66.599999999999994</v>
      </c>
      <c r="AI57" s="48">
        <f t="shared" si="3"/>
        <v>65.3</v>
      </c>
      <c r="AK57" s="50"/>
    </row>
    <row r="58" spans="1:41" x14ac:dyDescent="0.25">
      <c r="A58" s="53" t="s">
        <v>66</v>
      </c>
      <c r="B58" s="45">
        <v>60</v>
      </c>
      <c r="C58" s="45">
        <v>60</v>
      </c>
      <c r="D58" s="45">
        <v>60</v>
      </c>
      <c r="E58" s="56">
        <v>60</v>
      </c>
      <c r="F58" s="56">
        <v>60</v>
      </c>
      <c r="G58" s="56">
        <v>60</v>
      </c>
      <c r="H58" s="56">
        <v>60</v>
      </c>
      <c r="I58" s="56">
        <v>60</v>
      </c>
      <c r="J58" s="56">
        <v>61.2</v>
      </c>
      <c r="K58" s="56">
        <v>61.2</v>
      </c>
      <c r="L58" s="56">
        <v>58.7</v>
      </c>
      <c r="M58" s="56">
        <v>58.7</v>
      </c>
      <c r="N58" s="56">
        <v>58.7</v>
      </c>
      <c r="O58" s="64">
        <v>60</v>
      </c>
      <c r="P58" s="64">
        <v>60</v>
      </c>
      <c r="Q58" s="64">
        <v>60</v>
      </c>
      <c r="R58" s="64"/>
      <c r="S58" s="45"/>
      <c r="T58" s="45">
        <v>60.2</v>
      </c>
      <c r="U58" s="45">
        <v>60.2</v>
      </c>
      <c r="V58" s="45">
        <v>60.2</v>
      </c>
      <c r="W58" s="45">
        <v>60.4</v>
      </c>
      <c r="X58" s="45">
        <v>60.4</v>
      </c>
      <c r="Y58" s="45">
        <v>60.4</v>
      </c>
      <c r="Z58" s="45">
        <v>60.4</v>
      </c>
      <c r="AA58" s="45">
        <v>60.4</v>
      </c>
      <c r="AB58" s="45">
        <v>60.4</v>
      </c>
      <c r="AC58" s="45">
        <v>60.4</v>
      </c>
      <c r="AD58" s="45">
        <v>60.4</v>
      </c>
      <c r="AE58" s="45">
        <v>60.4</v>
      </c>
      <c r="AF58" s="45">
        <v>60.4</v>
      </c>
      <c r="AG58" s="54">
        <v>60</v>
      </c>
      <c r="AH58" s="47">
        <f t="shared" si="2"/>
        <v>61.2</v>
      </c>
      <c r="AI58" s="48">
        <f t="shared" si="3"/>
        <v>58.7</v>
      </c>
      <c r="AK58" s="50"/>
    </row>
    <row r="59" spans="1:41" x14ac:dyDescent="0.25">
      <c r="A59" s="53" t="s">
        <v>67</v>
      </c>
      <c r="B59" s="45">
        <v>30</v>
      </c>
      <c r="C59" s="45">
        <v>30</v>
      </c>
      <c r="D59" s="45">
        <v>30</v>
      </c>
      <c r="E59" s="56">
        <v>29</v>
      </c>
      <c r="F59" s="56">
        <v>29</v>
      </c>
      <c r="G59" s="56">
        <v>29</v>
      </c>
      <c r="H59" s="56">
        <v>29</v>
      </c>
      <c r="I59" s="56">
        <v>29</v>
      </c>
      <c r="J59" s="56">
        <v>29</v>
      </c>
      <c r="K59" s="56">
        <v>29</v>
      </c>
      <c r="L59" s="56">
        <v>29</v>
      </c>
      <c r="M59" s="56">
        <v>29</v>
      </c>
      <c r="N59" s="56">
        <v>29</v>
      </c>
      <c r="O59" s="56">
        <v>29</v>
      </c>
      <c r="P59" s="56">
        <v>29</v>
      </c>
      <c r="Q59" s="56">
        <v>29</v>
      </c>
      <c r="R59" s="64"/>
      <c r="S59" s="45"/>
      <c r="T59" s="45">
        <v>29</v>
      </c>
      <c r="U59" s="45">
        <v>29</v>
      </c>
      <c r="V59" s="45">
        <v>29</v>
      </c>
      <c r="W59" s="45">
        <v>30</v>
      </c>
      <c r="X59" s="45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29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0.5</v>
      </c>
      <c r="K60" s="64">
        <v>2.5</v>
      </c>
      <c r="L60" s="64">
        <v>4.2</v>
      </c>
      <c r="M60" s="64">
        <v>4.2</v>
      </c>
      <c r="N60" s="64">
        <v>4.2</v>
      </c>
      <c r="O60" s="64">
        <v>16.600000000000001</v>
      </c>
      <c r="P60" s="64">
        <v>17.899999999999999</v>
      </c>
      <c r="Q60" s="64">
        <v>17.899999999999999</v>
      </c>
      <c r="R60" s="64"/>
      <c r="S60" s="45"/>
      <c r="T60" s="45">
        <v>10.3</v>
      </c>
      <c r="U60" s="45">
        <v>10.3</v>
      </c>
      <c r="V60" s="45">
        <v>1</v>
      </c>
      <c r="W60" s="45">
        <v>0.2</v>
      </c>
      <c r="X60" s="45">
        <v>0.2</v>
      </c>
      <c r="Y60" s="45">
        <v>0.2</v>
      </c>
      <c r="Z60" s="45">
        <v>0.2</v>
      </c>
      <c r="AA60" s="45">
        <v>0.2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17.899999999999999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17</v>
      </c>
      <c r="C61" s="64">
        <v>17</v>
      </c>
      <c r="D61" s="64">
        <v>17</v>
      </c>
      <c r="E61" s="64">
        <v>17</v>
      </c>
      <c r="F61" s="64">
        <v>17</v>
      </c>
      <c r="G61" s="64">
        <v>17</v>
      </c>
      <c r="H61" s="64">
        <v>17</v>
      </c>
      <c r="I61" s="64">
        <v>17</v>
      </c>
      <c r="J61" s="64">
        <v>17</v>
      </c>
      <c r="K61" s="64">
        <v>17</v>
      </c>
      <c r="L61" s="64">
        <v>10</v>
      </c>
      <c r="M61" s="64">
        <v>10</v>
      </c>
      <c r="N61" s="64">
        <v>10</v>
      </c>
      <c r="O61" s="64">
        <v>10</v>
      </c>
      <c r="P61" s="64">
        <v>10</v>
      </c>
      <c r="Q61" s="64">
        <v>10</v>
      </c>
      <c r="R61" s="64"/>
      <c r="S61" s="64"/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17</v>
      </c>
      <c r="AI61" s="48">
        <f t="shared" si="3"/>
        <v>10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/>
      <c r="S62" s="64"/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9.9</v>
      </c>
      <c r="C63" s="64">
        <v>9.9</v>
      </c>
      <c r="D63" s="64">
        <v>10.1</v>
      </c>
      <c r="E63" s="64">
        <v>10.3</v>
      </c>
      <c r="F63" s="64">
        <v>9.9</v>
      </c>
      <c r="G63" s="64">
        <v>9.9</v>
      </c>
      <c r="H63" s="64">
        <v>9.8000000000000007</v>
      </c>
      <c r="I63" s="64">
        <v>9.8000000000000007</v>
      </c>
      <c r="J63" s="64">
        <v>9</v>
      </c>
      <c r="K63" s="64">
        <v>9</v>
      </c>
      <c r="L63" s="64">
        <v>9.1999999999999993</v>
      </c>
      <c r="M63" s="64">
        <v>9.1999999999999993</v>
      </c>
      <c r="N63" s="64">
        <v>9.1999999999999993</v>
      </c>
      <c r="O63" s="64">
        <v>9.1999999999999993</v>
      </c>
      <c r="P63" s="64">
        <v>9.1999999999999993</v>
      </c>
      <c r="Q63" s="64">
        <v>9.1999999999999993</v>
      </c>
      <c r="R63" s="64"/>
      <c r="S63" s="64"/>
      <c r="T63" s="64">
        <v>10.1</v>
      </c>
      <c r="U63" s="64">
        <v>10.1</v>
      </c>
      <c r="V63" s="64">
        <v>10.1</v>
      </c>
      <c r="W63" s="64">
        <v>10.1</v>
      </c>
      <c r="X63" s="64">
        <v>10.1</v>
      </c>
      <c r="Y63" s="64">
        <v>10.1</v>
      </c>
      <c r="Z63" s="64">
        <v>10.1</v>
      </c>
      <c r="AA63" s="64">
        <v>10.1</v>
      </c>
      <c r="AB63" s="64">
        <v>10.1</v>
      </c>
      <c r="AC63" s="64">
        <v>10.1</v>
      </c>
      <c r="AD63" s="64">
        <v>10.1</v>
      </c>
      <c r="AE63" s="64">
        <v>10.1</v>
      </c>
      <c r="AF63" s="64">
        <v>10.1</v>
      </c>
      <c r="AG63" s="54">
        <v>14.1</v>
      </c>
      <c r="AH63" s="47">
        <f t="shared" si="2"/>
        <v>10.3</v>
      </c>
      <c r="AI63" s="48">
        <f t="shared" si="3"/>
        <v>9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7.1</v>
      </c>
      <c r="C64" s="64">
        <v>7.1</v>
      </c>
      <c r="D64" s="64">
        <v>7.1</v>
      </c>
      <c r="E64" s="64">
        <v>10.199999999999999</v>
      </c>
      <c r="F64" s="64">
        <v>10.1</v>
      </c>
      <c r="G64" s="64">
        <v>10.1</v>
      </c>
      <c r="H64" s="64">
        <v>9.8000000000000007</v>
      </c>
      <c r="I64" s="64">
        <v>13.8</v>
      </c>
      <c r="J64" s="64">
        <v>13.8</v>
      </c>
      <c r="K64" s="64">
        <v>13.8</v>
      </c>
      <c r="L64" s="64">
        <v>13.8</v>
      </c>
      <c r="M64" s="64">
        <v>13.8</v>
      </c>
      <c r="N64" s="64">
        <v>13.8</v>
      </c>
      <c r="O64" s="64">
        <v>13.8</v>
      </c>
      <c r="P64" s="64">
        <v>13.8</v>
      </c>
      <c r="Q64" s="64">
        <v>13.8</v>
      </c>
      <c r="R64" s="64"/>
      <c r="S64" s="64"/>
      <c r="T64" s="64">
        <v>14.1</v>
      </c>
      <c r="U64" s="64">
        <v>14.1</v>
      </c>
      <c r="V64" s="64">
        <v>7.4</v>
      </c>
      <c r="W64" s="64">
        <v>7.4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14</v>
      </c>
      <c r="AE64" s="64">
        <v>12.2</v>
      </c>
      <c r="AF64" s="64">
        <v>12.2</v>
      </c>
      <c r="AG64" s="54">
        <v>14</v>
      </c>
      <c r="AH64" s="47">
        <f t="shared" si="2"/>
        <v>14.1</v>
      </c>
      <c r="AI64" s="48">
        <f t="shared" si="3"/>
        <v>7.1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/>
      <c r="S65" s="64"/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/>
      <c r="S66" s="64"/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425.74</v>
      </c>
      <c r="C68" s="60">
        <f>SUM(C55:C67)</f>
        <v>427.64</v>
      </c>
      <c r="D68" s="60">
        <f>SUM(D55:D67)</f>
        <v>426.84000000000003</v>
      </c>
      <c r="E68" s="60">
        <f t="shared" ref="E68:AG68" si="7">SUM(E55:E67)</f>
        <v>429.04</v>
      </c>
      <c r="F68" s="60">
        <f t="shared" si="7"/>
        <v>429.44</v>
      </c>
      <c r="G68" s="60">
        <f t="shared" si="7"/>
        <v>430.84</v>
      </c>
      <c r="H68" s="60">
        <f t="shared" si="7"/>
        <v>430.44</v>
      </c>
      <c r="I68" s="60">
        <f t="shared" si="7"/>
        <v>433.44000000000005</v>
      </c>
      <c r="J68" s="60">
        <f t="shared" si="7"/>
        <v>434.74</v>
      </c>
      <c r="K68" s="60">
        <f t="shared" si="7"/>
        <v>436.74</v>
      </c>
      <c r="L68" s="60">
        <f t="shared" si="7"/>
        <v>429.34</v>
      </c>
      <c r="M68" s="60">
        <f t="shared" si="7"/>
        <v>429.34</v>
      </c>
      <c r="N68" s="60">
        <f t="shared" si="7"/>
        <v>429.34</v>
      </c>
      <c r="O68" s="60">
        <f t="shared" si="7"/>
        <v>444.24000000000007</v>
      </c>
      <c r="P68" s="60">
        <f t="shared" si="7"/>
        <v>445.54</v>
      </c>
      <c r="Q68" s="60">
        <f t="shared" si="7"/>
        <v>445.54</v>
      </c>
      <c r="R68" s="60">
        <f t="shared" si="7"/>
        <v>3.54</v>
      </c>
      <c r="S68" s="60">
        <f t="shared" si="7"/>
        <v>3.54</v>
      </c>
      <c r="T68" s="60">
        <f t="shared" si="7"/>
        <v>443.34000000000003</v>
      </c>
      <c r="U68" s="60">
        <f t="shared" si="7"/>
        <v>443.34000000000003</v>
      </c>
      <c r="V68" s="60">
        <f t="shared" si="7"/>
        <v>427.34</v>
      </c>
      <c r="W68" s="60">
        <f t="shared" si="7"/>
        <v>429.03999999999996</v>
      </c>
      <c r="X68" s="60">
        <f t="shared" si="7"/>
        <v>435.64</v>
      </c>
      <c r="Y68" s="60">
        <f t="shared" si="7"/>
        <v>435.64</v>
      </c>
      <c r="Z68" s="60">
        <f t="shared" si="7"/>
        <v>435.64</v>
      </c>
      <c r="AA68" s="60">
        <f t="shared" si="7"/>
        <v>435.64</v>
      </c>
      <c r="AB68" s="60">
        <f t="shared" si="7"/>
        <v>435.44</v>
      </c>
      <c r="AC68" s="60">
        <f t="shared" si="7"/>
        <v>435.44</v>
      </c>
      <c r="AD68" s="60">
        <f t="shared" si="7"/>
        <v>435.44</v>
      </c>
      <c r="AE68" s="60">
        <f t="shared" si="7"/>
        <v>433.64</v>
      </c>
      <c r="AF68" s="60">
        <f t="shared" si="7"/>
        <v>433.64</v>
      </c>
      <c r="AG68" s="61">
        <f t="shared" si="7"/>
        <v>489.91</v>
      </c>
      <c r="AH68" s="47">
        <f t="shared" si="2"/>
        <v>445.54</v>
      </c>
      <c r="AI68" s="48">
        <f t="shared" si="3"/>
        <v>3.54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/>
      <c r="F69" s="45"/>
      <c r="G69" s="45"/>
      <c r="H69" s="45"/>
      <c r="I69" s="45"/>
      <c r="J69" s="45"/>
      <c r="K69" s="45"/>
      <c r="L69" s="45">
        <v>10</v>
      </c>
      <c r="M69" s="45">
        <v>10</v>
      </c>
      <c r="N69" s="45">
        <v>10</v>
      </c>
      <c r="O69" s="45">
        <v>30</v>
      </c>
      <c r="P69" s="45">
        <v>41.9</v>
      </c>
      <c r="Q69" s="45">
        <v>44</v>
      </c>
      <c r="R69" s="45"/>
      <c r="S69" s="45"/>
      <c r="T69" s="45">
        <v>49.6</v>
      </c>
      <c r="U69" s="45">
        <v>28.9</v>
      </c>
      <c r="V69" s="45">
        <v>39.1</v>
      </c>
      <c r="W69" s="45">
        <v>39.1</v>
      </c>
      <c r="X69" s="45">
        <v>39.1</v>
      </c>
      <c r="Y69" s="45">
        <v>58.6</v>
      </c>
      <c r="Z69" s="45">
        <v>58.6</v>
      </c>
      <c r="AA69" s="45">
        <v>39.6</v>
      </c>
      <c r="AB69" s="45">
        <v>13.8</v>
      </c>
      <c r="AC69" s="45">
        <v>13.8</v>
      </c>
      <c r="AD69" s="45">
        <v>10.8</v>
      </c>
      <c r="AE69" s="45">
        <v>11</v>
      </c>
      <c r="AF69" s="45">
        <v>0</v>
      </c>
      <c r="AG69" s="51">
        <v>60</v>
      </c>
      <c r="AH69" s="47">
        <f t="shared" si="2"/>
        <v>58.6</v>
      </c>
      <c r="AI69" s="48">
        <f t="shared" si="3"/>
        <v>0</v>
      </c>
      <c r="AK69" s="50"/>
    </row>
    <row r="70" spans="1:40" x14ac:dyDescent="0.25">
      <c r="A70" s="53" t="s">
        <v>78</v>
      </c>
      <c r="B70" s="64">
        <v>0</v>
      </c>
      <c r="C70" s="64">
        <v>0</v>
      </c>
      <c r="D70" s="64">
        <v>0</v>
      </c>
      <c r="E70" s="64"/>
      <c r="F70" s="64"/>
      <c r="G70" s="64"/>
      <c r="H70" s="64"/>
      <c r="I70" s="64"/>
      <c r="J70" s="64"/>
      <c r="K70" s="64"/>
      <c r="L70" s="64">
        <v>4.3</v>
      </c>
      <c r="M70" s="64">
        <v>4.3</v>
      </c>
      <c r="N70" s="64">
        <v>4.3</v>
      </c>
      <c r="O70" s="64">
        <v>14</v>
      </c>
      <c r="P70" s="64">
        <v>23.5</v>
      </c>
      <c r="Q70" s="64">
        <v>21</v>
      </c>
      <c r="R70" s="64"/>
      <c r="S70" s="64"/>
      <c r="T70" s="64">
        <v>23.6</v>
      </c>
      <c r="U70" s="64">
        <v>14.4</v>
      </c>
      <c r="V70" s="64">
        <v>15.9</v>
      </c>
      <c r="W70" s="64">
        <v>15.9</v>
      </c>
      <c r="X70" s="64">
        <v>17.5</v>
      </c>
      <c r="Y70" s="64">
        <v>28.1</v>
      </c>
      <c r="Z70" s="64">
        <v>28.1</v>
      </c>
      <c r="AA70" s="64">
        <v>28.8</v>
      </c>
      <c r="AB70" s="64">
        <v>6.6</v>
      </c>
      <c r="AC70" s="64">
        <v>6.6</v>
      </c>
      <c r="AD70" s="64">
        <v>4.5999999999999996</v>
      </c>
      <c r="AE70" s="64">
        <v>4.5999999999999996</v>
      </c>
      <c r="AF70" s="64">
        <v>0</v>
      </c>
      <c r="AG70" s="54">
        <v>32</v>
      </c>
      <c r="AH70" s="47">
        <f t="shared" si="2"/>
        <v>28.8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>
        <v>0</v>
      </c>
      <c r="C71" s="66">
        <v>0</v>
      </c>
      <c r="D71" s="66">
        <v>0</v>
      </c>
      <c r="E71" s="66"/>
      <c r="F71" s="66"/>
      <c r="G71" s="66"/>
      <c r="H71" s="66"/>
      <c r="I71" s="66"/>
      <c r="J71" s="66"/>
      <c r="K71" s="66"/>
      <c r="L71" s="66">
        <v>1.6</v>
      </c>
      <c r="M71" s="66">
        <v>1.6</v>
      </c>
      <c r="N71" s="66">
        <v>1.6</v>
      </c>
      <c r="O71" s="66">
        <v>5</v>
      </c>
      <c r="P71" s="66">
        <v>8.6</v>
      </c>
      <c r="Q71" s="66">
        <v>8</v>
      </c>
      <c r="R71" s="66"/>
      <c r="S71" s="66"/>
      <c r="T71" s="66">
        <v>8.6</v>
      </c>
      <c r="U71" s="66">
        <v>5.3</v>
      </c>
      <c r="V71" s="66">
        <v>5.8</v>
      </c>
      <c r="W71" s="66">
        <v>5.8</v>
      </c>
      <c r="X71" s="66">
        <v>6.4</v>
      </c>
      <c r="Y71" s="66">
        <v>10.3</v>
      </c>
      <c r="Z71" s="66">
        <v>10.3</v>
      </c>
      <c r="AA71" s="66">
        <v>10.5</v>
      </c>
      <c r="AB71" s="66">
        <v>2.4</v>
      </c>
      <c r="AC71" s="66">
        <v>2.4</v>
      </c>
      <c r="AD71" s="66">
        <v>1.7</v>
      </c>
      <c r="AE71" s="66">
        <v>1.7</v>
      </c>
      <c r="AF71" s="66">
        <v>0</v>
      </c>
      <c r="AG71" s="67">
        <v>14</v>
      </c>
      <c r="AH71" s="47">
        <f t="shared" si="2"/>
        <v>10.5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f>C69+C70+C71</f>
        <v>0</v>
      </c>
      <c r="D72" s="60">
        <f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15.9</v>
      </c>
      <c r="M72" s="60">
        <f t="shared" ref="M72:AF72" si="8">M69+M70+M71</f>
        <v>15.9</v>
      </c>
      <c r="N72" s="60">
        <f t="shared" si="8"/>
        <v>15.9</v>
      </c>
      <c r="O72" s="60">
        <f t="shared" si="8"/>
        <v>49</v>
      </c>
      <c r="P72" s="60">
        <f t="shared" si="8"/>
        <v>74</v>
      </c>
      <c r="Q72" s="60">
        <f t="shared" si="8"/>
        <v>73</v>
      </c>
      <c r="R72" s="60">
        <f t="shared" si="8"/>
        <v>0</v>
      </c>
      <c r="S72" s="60">
        <f t="shared" si="8"/>
        <v>0</v>
      </c>
      <c r="T72" s="60">
        <f t="shared" si="8"/>
        <v>81.8</v>
      </c>
      <c r="U72" s="60">
        <f t="shared" si="8"/>
        <v>48.599999999999994</v>
      </c>
      <c r="V72" s="60">
        <f t="shared" si="8"/>
        <v>60.8</v>
      </c>
      <c r="W72" s="60">
        <f t="shared" si="8"/>
        <v>60.8</v>
      </c>
      <c r="X72" s="60">
        <f t="shared" si="8"/>
        <v>63</v>
      </c>
      <c r="Y72" s="60">
        <f t="shared" si="8"/>
        <v>97</v>
      </c>
      <c r="Z72" s="60">
        <f t="shared" si="8"/>
        <v>97</v>
      </c>
      <c r="AA72" s="60">
        <f t="shared" si="8"/>
        <v>78.900000000000006</v>
      </c>
      <c r="AB72" s="60">
        <f t="shared" si="8"/>
        <v>22.799999999999997</v>
      </c>
      <c r="AC72" s="60">
        <f t="shared" si="8"/>
        <v>22.799999999999997</v>
      </c>
      <c r="AD72" s="60">
        <f t="shared" si="8"/>
        <v>17.100000000000001</v>
      </c>
      <c r="AE72" s="60">
        <f t="shared" si="8"/>
        <v>17.3</v>
      </c>
      <c r="AF72" s="60">
        <f t="shared" si="8"/>
        <v>0</v>
      </c>
      <c r="AG72" s="61">
        <f>SUM(AG69:AG71)</f>
        <v>106</v>
      </c>
      <c r="AH72" s="47">
        <f t="shared" si="2"/>
        <v>97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-47.1</v>
      </c>
      <c r="C73" s="45">
        <v>-47.8</v>
      </c>
      <c r="D73" s="45">
        <v>-49</v>
      </c>
      <c r="E73" s="45">
        <v>-52</v>
      </c>
      <c r="F73" s="45">
        <v>-55</v>
      </c>
      <c r="G73" s="45">
        <v>-57.6</v>
      </c>
      <c r="H73" s="45">
        <v>-59</v>
      </c>
      <c r="I73" s="45">
        <v>-63</v>
      </c>
      <c r="J73" s="45">
        <v>-70</v>
      </c>
      <c r="K73" s="45">
        <v>-57</v>
      </c>
      <c r="L73" s="45">
        <v>-55</v>
      </c>
      <c r="M73" s="45">
        <v>-57</v>
      </c>
      <c r="N73" s="45">
        <v>-50</v>
      </c>
      <c r="O73" s="45">
        <v>-45.5</v>
      </c>
      <c r="P73" s="45">
        <v>-42.7</v>
      </c>
      <c r="Q73" s="45">
        <v>-39</v>
      </c>
      <c r="R73" s="45"/>
      <c r="S73" s="45"/>
      <c r="T73" s="45">
        <v>21</v>
      </c>
      <c r="U73" s="45">
        <v>-37.9</v>
      </c>
      <c r="V73" s="45">
        <v>-41</v>
      </c>
      <c r="W73" s="45">
        <v>-35.700000000000003</v>
      </c>
      <c r="X73" s="45">
        <v>-37.799999999999997</v>
      </c>
      <c r="Y73" s="45">
        <v>14</v>
      </c>
      <c r="Z73" s="45">
        <v>26.2</v>
      </c>
      <c r="AA73" s="45">
        <v>28.1</v>
      </c>
      <c r="AB73" s="45">
        <v>26.3</v>
      </c>
      <c r="AC73" s="45">
        <v>26.3</v>
      </c>
      <c r="AD73" s="45">
        <v>24.2</v>
      </c>
      <c r="AE73" s="45">
        <v>-40</v>
      </c>
      <c r="AF73" s="45">
        <v>-41.7</v>
      </c>
      <c r="AG73" s="51"/>
      <c r="AH73" s="47">
        <f t="shared" si="2"/>
        <v>28.1</v>
      </c>
      <c r="AI73" s="48">
        <f t="shared" si="3"/>
        <v>-70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>
        <v>0</v>
      </c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-485</v>
      </c>
      <c r="C75" s="64">
        <v>-506</v>
      </c>
      <c r="D75" s="64">
        <v>-510</v>
      </c>
      <c r="E75" s="64">
        <v>-554.4</v>
      </c>
      <c r="F75" s="64">
        <v>-563</v>
      </c>
      <c r="G75" s="64">
        <v>-569.9</v>
      </c>
      <c r="H75" s="64">
        <v>-569</v>
      </c>
      <c r="I75" s="64">
        <v>-589</v>
      </c>
      <c r="J75" s="64">
        <v>-560</v>
      </c>
      <c r="K75" s="64">
        <v>-548</v>
      </c>
      <c r="L75" s="64">
        <v>-545.6</v>
      </c>
      <c r="M75" s="64">
        <v>-520</v>
      </c>
      <c r="N75" s="64">
        <v>-527</v>
      </c>
      <c r="O75" s="64">
        <v>-475.5</v>
      </c>
      <c r="P75" s="64">
        <v>-478.9</v>
      </c>
      <c r="Q75" s="64">
        <v>-484</v>
      </c>
      <c r="R75" s="64"/>
      <c r="S75" s="64"/>
      <c r="T75" s="64">
        <v>-396</v>
      </c>
      <c r="U75" s="64">
        <v>-429.2</v>
      </c>
      <c r="V75" s="64">
        <v>-510</v>
      </c>
      <c r="W75" s="64">
        <v>-532</v>
      </c>
      <c r="X75" s="64">
        <v>-451.4</v>
      </c>
      <c r="Y75" s="64">
        <v>-437</v>
      </c>
      <c r="Z75" s="64">
        <v>-435</v>
      </c>
      <c r="AA75" s="64">
        <v>-458</v>
      </c>
      <c r="AB75" s="64">
        <v>-449</v>
      </c>
      <c r="AC75" s="64">
        <v>-489</v>
      </c>
      <c r="AD75" s="64">
        <v>-497</v>
      </c>
      <c r="AE75" s="64">
        <v>-486</v>
      </c>
      <c r="AF75" s="64">
        <v>-459</v>
      </c>
      <c r="AG75" s="74"/>
      <c r="AH75" s="47">
        <f t="shared" si="2"/>
        <v>-396</v>
      </c>
      <c r="AI75" s="48">
        <f t="shared" si="3"/>
        <v>-589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/>
      <c r="AF77" s="45"/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76">
        <v>0</v>
      </c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/>
      <c r="AF78" s="76"/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>
        <v>0</v>
      </c>
      <c r="AD79" s="76">
        <v>0</v>
      </c>
      <c r="AE79" s="76"/>
      <c r="AF79" s="76"/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>
        <v>0</v>
      </c>
      <c r="AC80" s="76">
        <v>0</v>
      </c>
      <c r="AD80" s="76">
        <v>0</v>
      </c>
      <c r="AE80" s="76"/>
      <c r="AF80" s="76"/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>
        <v>0</v>
      </c>
      <c r="AC81" s="76">
        <v>0</v>
      </c>
      <c r="AD81" s="76">
        <v>0</v>
      </c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>
        <v>0</v>
      </c>
      <c r="AD82" s="76">
        <v>0</v>
      </c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>
        <v>0</v>
      </c>
      <c r="AD83" s="76">
        <v>0</v>
      </c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>SUMIF(B73:B83,"&gt;0")</f>
        <v>0</v>
      </c>
      <c r="C84" s="60">
        <f t="shared" ref="C84:AF84" si="11">SUMIF(C73:C83,"&gt;0")</f>
        <v>0</v>
      </c>
      <c r="D84" s="60">
        <f>SUMIF(D73:D83,"&gt;0")</f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0</v>
      </c>
      <c r="R84" s="60">
        <f t="shared" si="11"/>
        <v>0</v>
      </c>
      <c r="S84" s="60">
        <f t="shared" si="11"/>
        <v>0</v>
      </c>
      <c r="T84" s="60">
        <f>SUMIF(T73:T83,"&gt;0")</f>
        <v>21</v>
      </c>
      <c r="U84" s="60">
        <f>SUMIF(U73:U83,"&gt;0")</f>
        <v>0</v>
      </c>
      <c r="V84" s="60">
        <f t="shared" si="11"/>
        <v>0</v>
      </c>
      <c r="W84" s="60">
        <f t="shared" si="11"/>
        <v>0</v>
      </c>
      <c r="X84" s="60">
        <f t="shared" si="11"/>
        <v>0</v>
      </c>
      <c r="Y84" s="60">
        <f t="shared" si="11"/>
        <v>14</v>
      </c>
      <c r="Z84" s="60">
        <f t="shared" si="11"/>
        <v>26.2</v>
      </c>
      <c r="AA84" s="60">
        <f t="shared" si="11"/>
        <v>28.1</v>
      </c>
      <c r="AB84" s="60">
        <f t="shared" si="11"/>
        <v>26.3</v>
      </c>
      <c r="AC84" s="60">
        <f t="shared" si="11"/>
        <v>26.3</v>
      </c>
      <c r="AD84" s="60">
        <f t="shared" si="11"/>
        <v>24.2</v>
      </c>
      <c r="AE84" s="60">
        <f t="shared" si="11"/>
        <v>0</v>
      </c>
      <c r="AF84" s="60">
        <f t="shared" si="11"/>
        <v>0</v>
      </c>
      <c r="AG84" s="87">
        <f>SUM(AG73:AG83)</f>
        <v>0</v>
      </c>
      <c r="AH84" s="47">
        <f t="shared" si="9"/>
        <v>28.1</v>
      </c>
      <c r="AI84" s="48">
        <f t="shared" si="10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>B50+B54+B72+B68+B84+B88</f>
        <v>2124.67</v>
      </c>
      <c r="C89" s="94">
        <f t="shared" ref="C89:AG89" si="12">C50+C54+C72+C68+C84+C88</f>
        <v>2104.0700000000002</v>
      </c>
      <c r="D89" s="94">
        <f>D50+D54+D72+D68+D84+D88</f>
        <v>2092.8700000000003</v>
      </c>
      <c r="E89" s="94">
        <f t="shared" si="12"/>
        <v>2084.4699999999998</v>
      </c>
      <c r="F89" s="94">
        <f t="shared" si="12"/>
        <v>2086.77</v>
      </c>
      <c r="G89" s="94">
        <f t="shared" si="12"/>
        <v>2088.17</v>
      </c>
      <c r="H89" s="94">
        <f t="shared" si="12"/>
        <v>2127.37</v>
      </c>
      <c r="I89" s="94">
        <f t="shared" si="12"/>
        <v>2130.5700000000002</v>
      </c>
      <c r="J89" s="94">
        <f t="shared" si="12"/>
        <v>2177.4700000000003</v>
      </c>
      <c r="K89" s="94">
        <f t="shared" si="12"/>
        <v>2186.4700000000003</v>
      </c>
      <c r="L89" s="94">
        <f t="shared" si="12"/>
        <v>2194.9700000000003</v>
      </c>
      <c r="M89" s="94">
        <f t="shared" si="12"/>
        <v>2194.9700000000003</v>
      </c>
      <c r="N89" s="94">
        <f t="shared" si="12"/>
        <v>2194.9700000000003</v>
      </c>
      <c r="O89" s="94">
        <f t="shared" si="12"/>
        <v>2209.67</v>
      </c>
      <c r="P89" s="94">
        <f t="shared" si="12"/>
        <v>2236.9699999999998</v>
      </c>
      <c r="Q89" s="94">
        <f t="shared" si="12"/>
        <v>2230.9699999999998</v>
      </c>
      <c r="R89" s="94">
        <f t="shared" si="12"/>
        <v>3.54</v>
      </c>
      <c r="S89" s="94">
        <f t="shared" si="12"/>
        <v>3.54</v>
      </c>
      <c r="T89" s="94">
        <f t="shared" si="12"/>
        <v>2131.8399999999997</v>
      </c>
      <c r="U89" s="94">
        <f t="shared" si="12"/>
        <v>2130.64</v>
      </c>
      <c r="V89" s="94">
        <f t="shared" si="12"/>
        <v>2244.8399999999997</v>
      </c>
      <c r="W89" s="94">
        <f t="shared" si="12"/>
        <v>2256.54</v>
      </c>
      <c r="X89" s="94">
        <f t="shared" si="12"/>
        <v>2268.3399999999997</v>
      </c>
      <c r="Y89" s="94">
        <f t="shared" si="12"/>
        <v>2316.3399999999997</v>
      </c>
      <c r="Z89" s="94">
        <f t="shared" si="12"/>
        <v>2328.5399999999995</v>
      </c>
      <c r="AA89" s="94">
        <f t="shared" si="12"/>
        <v>2310.3399999999997</v>
      </c>
      <c r="AB89" s="94">
        <f t="shared" si="12"/>
        <v>2249.2399999999998</v>
      </c>
      <c r="AC89" s="94">
        <f t="shared" si="12"/>
        <v>2239.2399999999998</v>
      </c>
      <c r="AD89" s="94">
        <f t="shared" si="12"/>
        <v>2217.4399999999996</v>
      </c>
      <c r="AE89" s="94">
        <f t="shared" si="12"/>
        <v>2158.6400000000003</v>
      </c>
      <c r="AF89" s="94">
        <f t="shared" si="12"/>
        <v>2155.34</v>
      </c>
      <c r="AG89" s="61">
        <f t="shared" si="12"/>
        <v>2111.5500000000002</v>
      </c>
      <c r="AH89" s="47">
        <f t="shared" si="9"/>
        <v>2328.5399999999995</v>
      </c>
      <c r="AI89" s="48">
        <f t="shared" si="10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>
        <v>80</v>
      </c>
      <c r="U90" s="96"/>
      <c r="V90" s="96"/>
      <c r="W90" s="96"/>
      <c r="X90" s="96"/>
      <c r="Y90" s="96">
        <v>50</v>
      </c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80</v>
      </c>
      <c r="AI90" s="48">
        <f t="shared" si="10"/>
        <v>50</v>
      </c>
    </row>
    <row r="91" spans="1:40" ht="15.75" thickBot="1" x14ac:dyDescent="0.3">
      <c r="A91" s="73" t="s">
        <v>102</v>
      </c>
      <c r="B91" s="94">
        <f>B89+B90</f>
        <v>2124.67</v>
      </c>
      <c r="C91" s="94">
        <f t="shared" ref="C91:AF91" si="13">C89+C90</f>
        <v>2104.0700000000002</v>
      </c>
      <c r="D91" s="94">
        <f>D89+D90</f>
        <v>2092.8700000000003</v>
      </c>
      <c r="E91" s="94">
        <f t="shared" si="13"/>
        <v>2084.4699999999998</v>
      </c>
      <c r="F91" s="94">
        <f t="shared" si="13"/>
        <v>2086.77</v>
      </c>
      <c r="G91" s="94">
        <f t="shared" si="13"/>
        <v>2088.17</v>
      </c>
      <c r="H91" s="94">
        <f t="shared" si="13"/>
        <v>2127.37</v>
      </c>
      <c r="I91" s="94">
        <f t="shared" si="13"/>
        <v>2130.5700000000002</v>
      </c>
      <c r="J91" s="94">
        <f t="shared" si="13"/>
        <v>2177.4700000000003</v>
      </c>
      <c r="K91" s="94">
        <f t="shared" si="13"/>
        <v>2186.4700000000003</v>
      </c>
      <c r="L91" s="94">
        <f t="shared" si="13"/>
        <v>2194.9700000000003</v>
      </c>
      <c r="M91" s="94">
        <f t="shared" si="13"/>
        <v>2194.9700000000003</v>
      </c>
      <c r="N91" s="94">
        <f t="shared" si="13"/>
        <v>2194.9700000000003</v>
      </c>
      <c r="O91" s="94">
        <f t="shared" si="13"/>
        <v>2209.67</v>
      </c>
      <c r="P91" s="94">
        <f t="shared" si="13"/>
        <v>2236.9699999999998</v>
      </c>
      <c r="Q91" s="94">
        <f t="shared" si="13"/>
        <v>2230.9699999999998</v>
      </c>
      <c r="R91" s="94">
        <f t="shared" si="13"/>
        <v>3.54</v>
      </c>
      <c r="S91" s="94">
        <f t="shared" si="13"/>
        <v>3.54</v>
      </c>
      <c r="T91" s="94">
        <f t="shared" si="13"/>
        <v>2211.8399999999997</v>
      </c>
      <c r="U91" s="94">
        <f t="shared" si="13"/>
        <v>2130.64</v>
      </c>
      <c r="V91" s="94">
        <f t="shared" si="13"/>
        <v>2244.8399999999997</v>
      </c>
      <c r="W91" s="94">
        <f t="shared" si="13"/>
        <v>2256.54</v>
      </c>
      <c r="X91" s="94">
        <f t="shared" si="13"/>
        <v>2268.3399999999997</v>
      </c>
      <c r="Y91" s="94">
        <f t="shared" si="13"/>
        <v>2366.3399999999997</v>
      </c>
      <c r="Z91" s="94">
        <f t="shared" si="13"/>
        <v>2328.5399999999995</v>
      </c>
      <c r="AA91" s="94">
        <f t="shared" si="13"/>
        <v>2310.3399999999997</v>
      </c>
      <c r="AB91" s="94">
        <f t="shared" si="13"/>
        <v>2249.2399999999998</v>
      </c>
      <c r="AC91" s="94">
        <f t="shared" si="13"/>
        <v>2239.2399999999998</v>
      </c>
      <c r="AD91" s="94">
        <f t="shared" si="13"/>
        <v>2217.4399999999996</v>
      </c>
      <c r="AE91" s="94">
        <f t="shared" si="13"/>
        <v>2158.6400000000003</v>
      </c>
      <c r="AF91" s="94">
        <f t="shared" si="13"/>
        <v>2155.34</v>
      </c>
      <c r="AG91" s="87">
        <f>AG88+AG84+AG72+AG68+AG50+AG90</f>
        <v>1573.45</v>
      </c>
      <c r="AH91" s="47">
        <f t="shared" si="9"/>
        <v>2366.3399999999997</v>
      </c>
      <c r="AI91" s="48">
        <f t="shared" si="10"/>
        <v>3.54</v>
      </c>
    </row>
    <row r="92" spans="1:40" ht="15.75" thickBot="1" x14ac:dyDescent="0.3">
      <c r="A92" s="73" t="s">
        <v>103</v>
      </c>
      <c r="B92" s="94">
        <f>B91-(-B99)</f>
        <v>1639.67</v>
      </c>
      <c r="C92" s="94">
        <f t="shared" ref="C92:AF92" si="14">C91-(-C99)</f>
        <v>1598.0700000000002</v>
      </c>
      <c r="D92" s="94">
        <f>D91-(-D99)</f>
        <v>1582.8700000000003</v>
      </c>
      <c r="E92" s="94">
        <f t="shared" si="14"/>
        <v>1530.0699999999997</v>
      </c>
      <c r="F92" s="94">
        <f t="shared" si="14"/>
        <v>1523.77</v>
      </c>
      <c r="G92" s="94">
        <f t="shared" si="14"/>
        <v>1518.27</v>
      </c>
      <c r="H92" s="94">
        <f t="shared" si="14"/>
        <v>1558.37</v>
      </c>
      <c r="I92" s="94">
        <f t="shared" si="14"/>
        <v>1541.5700000000002</v>
      </c>
      <c r="J92" s="94">
        <f t="shared" si="14"/>
        <v>1617.4700000000003</v>
      </c>
      <c r="K92" s="94">
        <f t="shared" si="14"/>
        <v>1638.4700000000003</v>
      </c>
      <c r="L92" s="94">
        <f t="shared" si="14"/>
        <v>1649.3700000000003</v>
      </c>
      <c r="M92" s="94">
        <f t="shared" si="14"/>
        <v>1674.9700000000003</v>
      </c>
      <c r="N92" s="94">
        <f t="shared" si="14"/>
        <v>1667.9700000000003</v>
      </c>
      <c r="O92" s="94">
        <f t="shared" si="14"/>
        <v>1734.17</v>
      </c>
      <c r="P92" s="94">
        <f t="shared" si="14"/>
        <v>1758.0699999999997</v>
      </c>
      <c r="Q92" s="94">
        <f t="shared" si="14"/>
        <v>1746.9699999999998</v>
      </c>
      <c r="R92" s="94">
        <f t="shared" si="14"/>
        <v>3.54</v>
      </c>
      <c r="S92" s="94">
        <f t="shared" si="14"/>
        <v>3.54</v>
      </c>
      <c r="T92" s="94">
        <f t="shared" si="14"/>
        <v>1815.8399999999997</v>
      </c>
      <c r="U92" s="94">
        <f t="shared" si="14"/>
        <v>1701.4399999999998</v>
      </c>
      <c r="V92" s="94">
        <f t="shared" si="14"/>
        <v>1734.8399999999997</v>
      </c>
      <c r="W92" s="94">
        <f t="shared" si="14"/>
        <v>1724.54</v>
      </c>
      <c r="X92" s="94">
        <f t="shared" si="14"/>
        <v>1816.9399999999996</v>
      </c>
      <c r="Y92" s="94">
        <f t="shared" si="14"/>
        <v>1929.3399999999997</v>
      </c>
      <c r="Z92" s="94">
        <f t="shared" si="14"/>
        <v>1893.5399999999995</v>
      </c>
      <c r="AA92" s="94">
        <f t="shared" si="14"/>
        <v>1852.3399999999997</v>
      </c>
      <c r="AB92" s="94">
        <f t="shared" si="14"/>
        <v>1800.2399999999998</v>
      </c>
      <c r="AC92" s="94">
        <f t="shared" si="14"/>
        <v>1750.2399999999998</v>
      </c>
      <c r="AD92" s="94">
        <f t="shared" si="14"/>
        <v>1720.4399999999996</v>
      </c>
      <c r="AE92" s="94">
        <f t="shared" si="14"/>
        <v>1672.6400000000003</v>
      </c>
      <c r="AF92" s="94">
        <f t="shared" si="14"/>
        <v>1696.3400000000001</v>
      </c>
      <c r="AG92" s="87"/>
      <c r="AH92" s="47">
        <f t="shared" si="9"/>
        <v>1929.3399999999997</v>
      </c>
      <c r="AI92" s="48">
        <f t="shared" si="10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-485</v>
      </c>
      <c r="C99" s="60">
        <f t="shared" ref="C99:AF99" si="15">C75</f>
        <v>-506</v>
      </c>
      <c r="D99" s="60">
        <f>D75</f>
        <v>-510</v>
      </c>
      <c r="E99" s="60">
        <f t="shared" si="15"/>
        <v>-554.4</v>
      </c>
      <c r="F99" s="60">
        <f t="shared" si="15"/>
        <v>-563</v>
      </c>
      <c r="G99" s="60">
        <f t="shared" si="15"/>
        <v>-569.9</v>
      </c>
      <c r="H99" s="60">
        <f t="shared" si="15"/>
        <v>-569</v>
      </c>
      <c r="I99" s="60">
        <f t="shared" si="15"/>
        <v>-589</v>
      </c>
      <c r="J99" s="60">
        <f t="shared" si="15"/>
        <v>-560</v>
      </c>
      <c r="K99" s="60">
        <f t="shared" si="15"/>
        <v>-548</v>
      </c>
      <c r="L99" s="60">
        <f t="shared" si="15"/>
        <v>-545.6</v>
      </c>
      <c r="M99" s="60">
        <f t="shared" si="15"/>
        <v>-520</v>
      </c>
      <c r="N99" s="60">
        <f t="shared" si="15"/>
        <v>-527</v>
      </c>
      <c r="O99" s="60">
        <f t="shared" si="15"/>
        <v>-475.5</v>
      </c>
      <c r="P99" s="60">
        <f t="shared" si="15"/>
        <v>-478.9</v>
      </c>
      <c r="Q99" s="60">
        <f t="shared" si="15"/>
        <v>-484</v>
      </c>
      <c r="R99" s="60">
        <f t="shared" si="15"/>
        <v>0</v>
      </c>
      <c r="S99" s="60">
        <f t="shared" si="15"/>
        <v>0</v>
      </c>
      <c r="T99" s="60">
        <f t="shared" si="15"/>
        <v>-396</v>
      </c>
      <c r="U99" s="60">
        <f t="shared" si="15"/>
        <v>-429.2</v>
      </c>
      <c r="V99" s="60">
        <f t="shared" si="15"/>
        <v>-510</v>
      </c>
      <c r="W99" s="60">
        <f t="shared" si="15"/>
        <v>-532</v>
      </c>
      <c r="X99" s="60">
        <f t="shared" si="15"/>
        <v>-451.4</v>
      </c>
      <c r="Y99" s="60">
        <f t="shared" si="15"/>
        <v>-437</v>
      </c>
      <c r="Z99" s="60">
        <f t="shared" si="15"/>
        <v>-435</v>
      </c>
      <c r="AA99" s="60">
        <f t="shared" si="15"/>
        <v>-458</v>
      </c>
      <c r="AB99" s="60">
        <f t="shared" si="15"/>
        <v>-449</v>
      </c>
      <c r="AC99" s="60">
        <f t="shared" si="15"/>
        <v>-489</v>
      </c>
      <c r="AD99" s="60">
        <f t="shared" si="15"/>
        <v>-497</v>
      </c>
      <c r="AE99" s="60">
        <f t="shared" si="15"/>
        <v>-486</v>
      </c>
      <c r="AF99" s="60">
        <f t="shared" si="15"/>
        <v>-459</v>
      </c>
      <c r="AG99" s="87"/>
      <c r="AH99" s="47">
        <f t="shared" si="9"/>
        <v>0</v>
      </c>
      <c r="AI99" s="48">
        <f t="shared" si="10"/>
        <v>-589</v>
      </c>
      <c r="AK99" s="50"/>
    </row>
    <row r="100" spans="1:37" ht="15.75" thickBot="1" x14ac:dyDescent="0.3">
      <c r="A100" s="73" t="s">
        <v>108</v>
      </c>
      <c r="B100" s="60">
        <f>B84-B99</f>
        <v>485</v>
      </c>
      <c r="C100" s="60">
        <f t="shared" ref="C100:AF100" si="16">C84-C99</f>
        <v>506</v>
      </c>
      <c r="D100" s="60">
        <f>D84-D99</f>
        <v>510</v>
      </c>
      <c r="E100" s="60">
        <f t="shared" si="16"/>
        <v>554.4</v>
      </c>
      <c r="F100" s="60">
        <f t="shared" si="16"/>
        <v>563</v>
      </c>
      <c r="G100" s="60">
        <f t="shared" si="16"/>
        <v>569.9</v>
      </c>
      <c r="H100" s="60">
        <f t="shared" si="16"/>
        <v>569</v>
      </c>
      <c r="I100" s="60">
        <f t="shared" si="16"/>
        <v>589</v>
      </c>
      <c r="J100" s="60">
        <f t="shared" si="16"/>
        <v>560</v>
      </c>
      <c r="K100" s="60">
        <f t="shared" si="16"/>
        <v>548</v>
      </c>
      <c r="L100" s="60">
        <f t="shared" si="16"/>
        <v>545.6</v>
      </c>
      <c r="M100" s="60">
        <f t="shared" si="16"/>
        <v>520</v>
      </c>
      <c r="N100" s="60">
        <f t="shared" si="16"/>
        <v>527</v>
      </c>
      <c r="O100" s="60">
        <f t="shared" si="16"/>
        <v>475.5</v>
      </c>
      <c r="P100" s="60">
        <f t="shared" si="16"/>
        <v>478.9</v>
      </c>
      <c r="Q100" s="60">
        <f t="shared" si="16"/>
        <v>484</v>
      </c>
      <c r="R100" s="60">
        <f t="shared" si="16"/>
        <v>0</v>
      </c>
      <c r="S100" s="60">
        <f t="shared" si="16"/>
        <v>0</v>
      </c>
      <c r="T100" s="60">
        <f t="shared" si="16"/>
        <v>417</v>
      </c>
      <c r="U100" s="60">
        <f t="shared" si="16"/>
        <v>429.2</v>
      </c>
      <c r="V100" s="60">
        <f t="shared" si="16"/>
        <v>510</v>
      </c>
      <c r="W100" s="60">
        <f t="shared" si="16"/>
        <v>532</v>
      </c>
      <c r="X100" s="60">
        <f t="shared" si="16"/>
        <v>451.4</v>
      </c>
      <c r="Y100" s="60">
        <f t="shared" si="16"/>
        <v>451</v>
      </c>
      <c r="Z100" s="60">
        <f t="shared" si="16"/>
        <v>461.2</v>
      </c>
      <c r="AA100" s="60">
        <f t="shared" si="16"/>
        <v>486.1</v>
      </c>
      <c r="AB100" s="60">
        <f t="shared" si="16"/>
        <v>475.3</v>
      </c>
      <c r="AC100" s="60">
        <f t="shared" si="16"/>
        <v>515.29999999999995</v>
      </c>
      <c r="AD100" s="60">
        <f t="shared" si="16"/>
        <v>521.20000000000005</v>
      </c>
      <c r="AE100" s="60">
        <f t="shared" si="16"/>
        <v>486</v>
      </c>
      <c r="AF100" s="60">
        <f t="shared" si="16"/>
        <v>459</v>
      </c>
      <c r="AG100" s="87"/>
      <c r="AH100" s="47">
        <f t="shared" si="9"/>
        <v>589</v>
      </c>
      <c r="AI100" s="48">
        <f t="shared" si="10"/>
        <v>0</v>
      </c>
    </row>
    <row r="101" spans="1:37" x14ac:dyDescent="0.25">
      <c r="A101" s="99" t="s">
        <v>109</v>
      </c>
      <c r="B101" s="100">
        <v>49.97</v>
      </c>
      <c r="C101" s="100">
        <v>49.96</v>
      </c>
      <c r="D101" s="100">
        <v>49.99</v>
      </c>
      <c r="E101" s="100">
        <v>50.04</v>
      </c>
      <c r="F101" s="100">
        <v>49.965000000000003</v>
      </c>
      <c r="G101" s="100">
        <v>49.93</v>
      </c>
      <c r="H101" s="100">
        <v>49.94</v>
      </c>
      <c r="I101" s="100">
        <v>50.046999999999997</v>
      </c>
      <c r="J101" s="100">
        <v>50.024000000000001</v>
      </c>
      <c r="K101" s="100">
        <v>50.029000000000003</v>
      </c>
      <c r="L101" s="100">
        <v>49.984999999999999</v>
      </c>
      <c r="M101" s="100">
        <v>50.048999999999999</v>
      </c>
      <c r="N101" s="100">
        <v>50.048999999999999</v>
      </c>
      <c r="O101" s="100">
        <v>49.93</v>
      </c>
      <c r="P101" s="100">
        <v>50.027000000000001</v>
      </c>
      <c r="Q101" s="100">
        <v>49.94</v>
      </c>
      <c r="R101" s="100"/>
      <c r="S101" s="100"/>
      <c r="T101" s="100">
        <v>50.034999999999997</v>
      </c>
      <c r="U101" s="100">
        <v>49.984999999999999</v>
      </c>
      <c r="V101" s="100">
        <v>50.100999999999999</v>
      </c>
      <c r="W101" s="100">
        <v>49.994</v>
      </c>
      <c r="X101" s="100">
        <v>49.994</v>
      </c>
      <c r="Y101" s="100">
        <v>49.881</v>
      </c>
      <c r="Z101" s="100">
        <v>50.02</v>
      </c>
      <c r="AA101" s="100">
        <v>50.045000000000002</v>
      </c>
      <c r="AB101" s="100">
        <v>50.06</v>
      </c>
      <c r="AC101" s="100">
        <v>49.984999999999999</v>
      </c>
      <c r="AD101" s="100">
        <v>49.984999999999999</v>
      </c>
      <c r="AE101" s="100">
        <v>49.988</v>
      </c>
      <c r="AF101" s="100">
        <v>50.02</v>
      </c>
      <c r="AG101" s="101"/>
      <c r="AH101" s="47">
        <f t="shared" si="9"/>
        <v>50.100999999999999</v>
      </c>
      <c r="AI101" s="48">
        <f t="shared" si="10"/>
        <v>49.881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128.5</v>
      </c>
      <c r="C103" s="64">
        <v>128.80000000000001</v>
      </c>
      <c r="D103" s="64">
        <v>129</v>
      </c>
      <c r="E103" s="64">
        <v>130.30000000000001</v>
      </c>
      <c r="F103" s="64">
        <v>128.5</v>
      </c>
      <c r="G103" s="64">
        <v>128</v>
      </c>
      <c r="H103" s="64">
        <v>128.4</v>
      </c>
      <c r="I103" s="64">
        <v>128.30000000000001</v>
      </c>
      <c r="J103" s="64">
        <v>125.7</v>
      </c>
      <c r="K103" s="64">
        <v>125.4</v>
      </c>
      <c r="L103" s="64">
        <v>126.1</v>
      </c>
      <c r="M103" s="64">
        <v>125.1</v>
      </c>
      <c r="N103" s="64">
        <v>125.1</v>
      </c>
      <c r="O103" s="64">
        <v>125.1</v>
      </c>
      <c r="P103" s="64">
        <v>127</v>
      </c>
      <c r="Q103" s="64">
        <v>125.7</v>
      </c>
      <c r="R103" s="64"/>
      <c r="S103" s="64"/>
      <c r="T103" s="64">
        <v>125.7</v>
      </c>
      <c r="U103" s="64">
        <v>125.7</v>
      </c>
      <c r="V103" s="64">
        <v>128.19999999999999</v>
      </c>
      <c r="W103" s="64">
        <v>126.9</v>
      </c>
      <c r="X103" s="64">
        <v>127.1</v>
      </c>
      <c r="Y103" s="64">
        <v>128.69999999999999</v>
      </c>
      <c r="Z103" s="64">
        <v>128.5</v>
      </c>
      <c r="AA103" s="64">
        <v>129.19999999999999</v>
      </c>
      <c r="AB103" s="64">
        <v>127.7</v>
      </c>
      <c r="AC103" s="64">
        <v>127.5</v>
      </c>
      <c r="AD103" s="64">
        <v>127.5</v>
      </c>
      <c r="AE103" s="64">
        <v>128.5</v>
      </c>
      <c r="AF103" s="64">
        <v>126.2</v>
      </c>
      <c r="AG103" s="103"/>
      <c r="AH103" s="47">
        <f t="shared" si="9"/>
        <v>130.30000000000001</v>
      </c>
      <c r="AI103" s="48">
        <f t="shared" si="10"/>
        <v>125.1</v>
      </c>
    </row>
    <row r="104" spans="1:37" x14ac:dyDescent="0.25">
      <c r="A104" s="102" t="s">
        <v>112</v>
      </c>
      <c r="B104" s="64">
        <v>129.5</v>
      </c>
      <c r="C104" s="64">
        <v>128.19999999999999</v>
      </c>
      <c r="D104" s="64">
        <v>130.1</v>
      </c>
      <c r="E104" s="64">
        <v>130.9</v>
      </c>
      <c r="F104" s="64">
        <v>129.4</v>
      </c>
      <c r="G104" s="64">
        <v>128.4</v>
      </c>
      <c r="H104" s="64">
        <v>128.69999999999999</v>
      </c>
      <c r="I104" s="64">
        <v>129.30000000000001</v>
      </c>
      <c r="J104" s="64">
        <v>127.5</v>
      </c>
      <c r="K104" s="64">
        <v>127.8</v>
      </c>
      <c r="L104" s="64">
        <v>129.4</v>
      </c>
      <c r="M104" s="64">
        <v>125</v>
      </c>
      <c r="N104" s="64">
        <v>125</v>
      </c>
      <c r="O104" s="64">
        <v>125</v>
      </c>
      <c r="P104" s="64">
        <v>126</v>
      </c>
      <c r="Q104" s="64">
        <v>128.6</v>
      </c>
      <c r="R104" s="64"/>
      <c r="S104" s="64"/>
      <c r="T104" s="64">
        <v>127.5</v>
      </c>
      <c r="U104" s="64">
        <v>127.5</v>
      </c>
      <c r="V104" s="64">
        <v>126.6</v>
      </c>
      <c r="W104" s="64">
        <v>124.7</v>
      </c>
      <c r="X104" s="64">
        <v>126.3</v>
      </c>
      <c r="Y104" s="64">
        <v>126.8</v>
      </c>
      <c r="Z104" s="64">
        <v>129.5</v>
      </c>
      <c r="AA104" s="64">
        <v>127.7</v>
      </c>
      <c r="AB104" s="64">
        <v>126.8</v>
      </c>
      <c r="AC104" s="64">
        <v>124.9</v>
      </c>
      <c r="AD104" s="64">
        <v>124.9</v>
      </c>
      <c r="AE104" s="64">
        <v>127.4</v>
      </c>
      <c r="AF104" s="64">
        <v>124.6</v>
      </c>
      <c r="AG104" s="103"/>
      <c r="AH104" s="47">
        <f t="shared" si="9"/>
        <v>130.9</v>
      </c>
      <c r="AI104" s="48">
        <f t="shared" si="10"/>
        <v>124.6</v>
      </c>
    </row>
    <row r="105" spans="1:37" x14ac:dyDescent="0.25">
      <c r="A105" s="104" t="s">
        <v>113</v>
      </c>
      <c r="B105" s="64">
        <v>133.19999999999999</v>
      </c>
      <c r="C105" s="64">
        <v>132.4</v>
      </c>
      <c r="D105" s="64">
        <v>134.1</v>
      </c>
      <c r="E105" s="64">
        <v>134.69999999999999</v>
      </c>
      <c r="F105" s="64">
        <v>133.80000000000001</v>
      </c>
      <c r="G105" s="64">
        <v>133.30000000000001</v>
      </c>
      <c r="H105" s="64">
        <v>133.30000000000001</v>
      </c>
      <c r="I105" s="64">
        <v>133.1</v>
      </c>
      <c r="J105" s="64">
        <v>130.80000000000001</v>
      </c>
      <c r="K105" s="64">
        <v>130</v>
      </c>
      <c r="L105" s="64">
        <v>131.1</v>
      </c>
      <c r="M105" s="64">
        <v>126</v>
      </c>
      <c r="N105" s="64">
        <v>126</v>
      </c>
      <c r="O105" s="64">
        <v>126</v>
      </c>
      <c r="P105" s="64">
        <v>129</v>
      </c>
      <c r="Q105" s="64">
        <v>130.69999999999999</v>
      </c>
      <c r="R105" s="64"/>
      <c r="S105" s="64"/>
      <c r="T105" s="64">
        <v>132.30000000000001</v>
      </c>
      <c r="U105" s="64">
        <v>132.30000000000001</v>
      </c>
      <c r="V105" s="64">
        <v>129.6</v>
      </c>
      <c r="W105" s="64">
        <v>128.30000000000001</v>
      </c>
      <c r="X105" s="64">
        <v>128.80000000000001</v>
      </c>
      <c r="Y105" s="64">
        <v>129.19999999999999</v>
      </c>
      <c r="Z105" s="64">
        <v>132.1</v>
      </c>
      <c r="AA105" s="64">
        <v>130.69999999999999</v>
      </c>
      <c r="AB105" s="64">
        <v>130.1</v>
      </c>
      <c r="AC105" s="64">
        <v>128.5</v>
      </c>
      <c r="AD105" s="64">
        <v>128.5</v>
      </c>
      <c r="AE105" s="64">
        <v>130.80000000000001</v>
      </c>
      <c r="AF105" s="64">
        <v>129.19999999999999</v>
      </c>
      <c r="AG105" s="103"/>
      <c r="AH105" s="47">
        <f t="shared" si="9"/>
        <v>134.69999999999999</v>
      </c>
      <c r="AI105" s="48">
        <f t="shared" si="10"/>
        <v>126</v>
      </c>
    </row>
    <row r="106" spans="1:37" x14ac:dyDescent="0.25">
      <c r="A106" s="104" t="s">
        <v>114</v>
      </c>
      <c r="B106" s="105">
        <v>131.9</v>
      </c>
      <c r="C106" s="105">
        <v>132.30000000000001</v>
      </c>
      <c r="D106" s="105">
        <v>133</v>
      </c>
      <c r="E106" s="105">
        <v>133.19999999999999</v>
      </c>
      <c r="F106" s="105">
        <v>131.5</v>
      </c>
      <c r="G106" s="105">
        <v>133.1</v>
      </c>
      <c r="H106" s="105">
        <v>132.9</v>
      </c>
      <c r="I106" s="105">
        <v>134.1</v>
      </c>
      <c r="J106" s="105">
        <v>132</v>
      </c>
      <c r="K106" s="105">
        <v>133</v>
      </c>
      <c r="L106" s="105">
        <v>133.19999999999999</v>
      </c>
      <c r="M106" s="105">
        <v>131</v>
      </c>
      <c r="N106" s="105">
        <v>131</v>
      </c>
      <c r="O106" s="105">
        <v>131</v>
      </c>
      <c r="P106" s="105">
        <v>131</v>
      </c>
      <c r="Q106" s="105">
        <v>133.4</v>
      </c>
      <c r="R106" s="105"/>
      <c r="S106" s="105"/>
      <c r="T106" s="105">
        <v>133.30000000000001</v>
      </c>
      <c r="U106" s="105">
        <v>133.30000000000001</v>
      </c>
      <c r="V106" s="105">
        <v>134.5</v>
      </c>
      <c r="W106" s="105">
        <v>132</v>
      </c>
      <c r="X106" s="105">
        <v>131.4</v>
      </c>
      <c r="Y106" s="105">
        <v>134.30000000000001</v>
      </c>
      <c r="Z106" s="105">
        <v>134.5</v>
      </c>
      <c r="AA106" s="105">
        <v>133.1</v>
      </c>
      <c r="AB106" s="105">
        <v>132.5</v>
      </c>
      <c r="AC106" s="105">
        <v>132.5</v>
      </c>
      <c r="AD106" s="105">
        <v>132.5</v>
      </c>
      <c r="AE106" s="105">
        <v>130</v>
      </c>
      <c r="AF106" s="105">
        <v>128.19999999999999</v>
      </c>
      <c r="AG106" s="106"/>
      <c r="AH106" s="47">
        <f t="shared" si="9"/>
        <v>134.5</v>
      </c>
      <c r="AI106" s="48">
        <f t="shared" si="10"/>
        <v>128.19999999999999</v>
      </c>
    </row>
    <row r="107" spans="1:37" x14ac:dyDescent="0.25">
      <c r="A107" s="102" t="s">
        <v>115</v>
      </c>
      <c r="B107" s="64">
        <v>129.19999999999999</v>
      </c>
      <c r="C107" s="64">
        <v>128.80000000000001</v>
      </c>
      <c r="D107" s="64">
        <v>131.4</v>
      </c>
      <c r="E107" s="64">
        <v>133.5</v>
      </c>
      <c r="F107" s="64">
        <v>130.69999999999999</v>
      </c>
      <c r="G107" s="64">
        <v>133.80000000000001</v>
      </c>
      <c r="H107" s="64">
        <v>131.80000000000001</v>
      </c>
      <c r="I107" s="64">
        <v>134.19999999999999</v>
      </c>
      <c r="J107" s="64">
        <v>132.6</v>
      </c>
      <c r="K107" s="64">
        <v>133</v>
      </c>
      <c r="L107" s="64">
        <v>132.4</v>
      </c>
      <c r="M107" s="64">
        <v>131.1</v>
      </c>
      <c r="N107" s="64">
        <v>131.1</v>
      </c>
      <c r="O107" s="64">
        <v>131.1</v>
      </c>
      <c r="P107" s="64">
        <v>130</v>
      </c>
      <c r="Q107" s="64">
        <v>127.1</v>
      </c>
      <c r="R107" s="64"/>
      <c r="S107" s="64"/>
      <c r="T107" s="64">
        <v>132.5</v>
      </c>
      <c r="U107" s="64">
        <v>132.5</v>
      </c>
      <c r="V107" s="64">
        <v>135.5</v>
      </c>
      <c r="W107" s="64">
        <v>133.9</v>
      </c>
      <c r="X107" s="64">
        <v>130.9</v>
      </c>
      <c r="Y107" s="64">
        <v>128.9</v>
      </c>
      <c r="Z107" s="64">
        <v>128.80000000000001</v>
      </c>
      <c r="AA107" s="64">
        <v>129.5</v>
      </c>
      <c r="AB107" s="64">
        <v>132.1</v>
      </c>
      <c r="AC107" s="64">
        <v>131.30000000000001</v>
      </c>
      <c r="AD107" s="64">
        <v>131.30000000000001</v>
      </c>
      <c r="AE107" s="64">
        <v>130.69999999999999</v>
      </c>
      <c r="AF107" s="64">
        <v>129.19999999999999</v>
      </c>
      <c r="AG107" s="103"/>
      <c r="AH107" s="47">
        <f t="shared" si="9"/>
        <v>135.5</v>
      </c>
      <c r="AI107" s="48">
        <f t="shared" si="10"/>
        <v>127.1</v>
      </c>
    </row>
    <row r="108" spans="1:37" ht="15.75" thickBot="1" x14ac:dyDescent="0.3">
      <c r="A108" s="102" t="s">
        <v>116</v>
      </c>
      <c r="B108" s="91">
        <v>64.8</v>
      </c>
      <c r="C108" s="91">
        <v>65.099999999999994</v>
      </c>
      <c r="D108" s="91">
        <v>65.2</v>
      </c>
      <c r="E108" s="91">
        <v>65.7</v>
      </c>
      <c r="F108" s="91">
        <v>65</v>
      </c>
      <c r="G108" s="91">
        <v>65</v>
      </c>
      <c r="H108" s="91">
        <v>64.599999999999994</v>
      </c>
      <c r="I108" s="91">
        <v>64.8</v>
      </c>
      <c r="J108" s="91">
        <v>63.7</v>
      </c>
      <c r="K108" s="91">
        <v>62.9</v>
      </c>
      <c r="L108" s="91">
        <v>63.7</v>
      </c>
      <c r="M108" s="91">
        <v>63.1</v>
      </c>
      <c r="N108" s="91">
        <v>63.1</v>
      </c>
      <c r="O108" s="91">
        <v>63.1</v>
      </c>
      <c r="P108" s="91">
        <v>63.6</v>
      </c>
      <c r="Q108" s="91">
        <v>63.1</v>
      </c>
      <c r="R108" s="91"/>
      <c r="S108" s="91"/>
      <c r="T108" s="91">
        <v>63.3</v>
      </c>
      <c r="U108" s="91">
        <v>63.3</v>
      </c>
      <c r="V108" s="91">
        <v>64.400000000000006</v>
      </c>
      <c r="W108" s="91">
        <v>63.8</v>
      </c>
      <c r="X108" s="91">
        <v>63.9</v>
      </c>
      <c r="Y108" s="91">
        <v>64.900000000000006</v>
      </c>
      <c r="Z108" s="91">
        <v>64.900000000000006</v>
      </c>
      <c r="AA108" s="91">
        <v>65.400000000000006</v>
      </c>
      <c r="AB108" s="91">
        <v>64.3</v>
      </c>
      <c r="AC108" s="91">
        <v>64.3</v>
      </c>
      <c r="AD108" s="91">
        <v>64.3</v>
      </c>
      <c r="AE108" s="91">
        <v>64.8</v>
      </c>
      <c r="AF108" s="91">
        <v>63.5</v>
      </c>
      <c r="AG108" s="107"/>
      <c r="AH108" s="47">
        <f t="shared" si="9"/>
        <v>65.7</v>
      </c>
      <c r="AI108" s="48">
        <f t="shared" si="10"/>
        <v>62.9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/>
      <c r="C110" s="110">
        <f t="shared" ref="C110:O110" si="17">SUM(C20,C26,C29:C30,C58,C60:C61,C63,C65,C111:C115,C138,C144,C150,C159,C161,C173,C180,C183:C184,C191,C193,C195,C199:C201,C203:C205,C210,C216:C217,C219:C221,C229,C234)</f>
        <v>41.340000000000039</v>
      </c>
      <c r="D110" s="110">
        <f t="shared" si="17"/>
        <v>38.139999999999972</v>
      </c>
      <c r="E110" s="110">
        <f t="shared" si="17"/>
        <v>26.74000000000003</v>
      </c>
      <c r="F110" s="110">
        <f t="shared" si="17"/>
        <v>25.240000000000006</v>
      </c>
      <c r="G110" s="110">
        <f t="shared" si="17"/>
        <v>44.840000000000011</v>
      </c>
      <c r="H110" s="110">
        <f t="shared" si="17"/>
        <v>134.84</v>
      </c>
      <c r="I110" s="110">
        <f t="shared" si="17"/>
        <v>102.03999999999999</v>
      </c>
      <c r="J110" s="110">
        <f t="shared" si="17"/>
        <v>154.54</v>
      </c>
      <c r="K110" s="110">
        <f t="shared" si="17"/>
        <v>201.04</v>
      </c>
      <c r="L110" s="110">
        <f t="shared" si="17"/>
        <v>192.03999999999994</v>
      </c>
      <c r="M110" s="110">
        <f t="shared" si="17"/>
        <v>212.03999999999996</v>
      </c>
      <c r="N110" s="110">
        <f t="shared" si="17"/>
        <v>212.03999999999996</v>
      </c>
      <c r="O110" s="110">
        <f t="shared" si="17"/>
        <v>188.93999999999997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212.49999999999997</v>
      </c>
      <c r="R110" s="110">
        <f t="shared" si="18"/>
        <v>0</v>
      </c>
      <c r="S110" s="110">
        <f t="shared" si="18"/>
        <v>0</v>
      </c>
      <c r="T110" s="110">
        <f t="shared" si="18"/>
        <v>173.49999999999997</v>
      </c>
      <c r="U110" s="110">
        <f t="shared" si="18"/>
        <v>205.9</v>
      </c>
      <c r="V110" s="110">
        <f t="shared" si="18"/>
        <v>196.70000000000002</v>
      </c>
      <c r="W110" s="110">
        <f t="shared" si="18"/>
        <v>208.3</v>
      </c>
      <c r="X110" s="110">
        <f t="shared" si="18"/>
        <v>229.99999999999997</v>
      </c>
      <c r="Y110" s="110">
        <f t="shared" si="18"/>
        <v>253.2</v>
      </c>
      <c r="Z110" s="110">
        <f t="shared" si="18"/>
        <v>245.2</v>
      </c>
      <c r="AA110" s="110">
        <f t="shared" si="18"/>
        <v>215.19999999999996</v>
      </c>
      <c r="AB110" s="110">
        <f t="shared" si="18"/>
        <v>219.8</v>
      </c>
      <c r="AC110" s="110">
        <f t="shared" si="18"/>
        <v>199.99999999999997</v>
      </c>
      <c r="AD110" s="110"/>
      <c r="AE110" s="110">
        <f t="shared" si="18"/>
        <v>107.6</v>
      </c>
      <c r="AF110" s="110">
        <f t="shared" si="18"/>
        <v>82.4</v>
      </c>
      <c r="AG110" s="111"/>
      <c r="AH110" s="47">
        <f t="shared" si="9"/>
        <v>253.2</v>
      </c>
      <c r="AI110" s="48">
        <f t="shared" si="10"/>
        <v>0</v>
      </c>
    </row>
    <row r="111" spans="1:37" x14ac:dyDescent="0.25">
      <c r="A111" s="99" t="s">
        <v>119</v>
      </c>
      <c r="B111" s="112">
        <v>27.5</v>
      </c>
      <c r="C111" s="112">
        <v>24.3</v>
      </c>
      <c r="D111" s="112">
        <v>22.4</v>
      </c>
      <c r="E111" s="112">
        <v>19.8</v>
      </c>
      <c r="F111" s="112">
        <v>23.9</v>
      </c>
      <c r="G111" s="112">
        <v>27.5</v>
      </c>
      <c r="H111" s="112">
        <v>33.200000000000003</v>
      </c>
      <c r="I111" s="112">
        <v>37.1</v>
      </c>
      <c r="J111" s="112">
        <v>46.4</v>
      </c>
      <c r="K111" s="112">
        <v>57.4</v>
      </c>
      <c r="L111" s="112">
        <v>54.6</v>
      </c>
      <c r="M111" s="112">
        <v>54.4</v>
      </c>
      <c r="N111" s="112">
        <v>54.4</v>
      </c>
      <c r="O111" s="112">
        <v>0</v>
      </c>
      <c r="P111" s="112">
        <v>0</v>
      </c>
      <c r="Q111" s="112">
        <v>69.8</v>
      </c>
      <c r="R111" s="112"/>
      <c r="S111" s="112"/>
      <c r="T111" s="112">
        <v>62.5</v>
      </c>
      <c r="U111" s="112">
        <v>50.2</v>
      </c>
      <c r="V111" s="112">
        <v>47.9</v>
      </c>
      <c r="W111" s="112">
        <v>54.9</v>
      </c>
      <c r="X111" s="112">
        <v>52.1</v>
      </c>
      <c r="Y111" s="112">
        <v>51.3</v>
      </c>
      <c r="Z111" s="112">
        <v>52</v>
      </c>
      <c r="AA111" s="112">
        <v>52.7</v>
      </c>
      <c r="AB111" s="112">
        <v>55</v>
      </c>
      <c r="AC111" s="112">
        <v>54.7</v>
      </c>
      <c r="AD111" s="112">
        <v>54.7</v>
      </c>
      <c r="AE111" s="112">
        <v>33.1</v>
      </c>
      <c r="AF111" s="112">
        <v>28.4</v>
      </c>
      <c r="AG111" s="113">
        <v>75</v>
      </c>
      <c r="AH111" s="47">
        <f t="shared" si="9"/>
        <v>69.8</v>
      </c>
      <c r="AI111" s="48">
        <f t="shared" si="10"/>
        <v>0</v>
      </c>
    </row>
    <row r="112" spans="1:37" x14ac:dyDescent="0.25">
      <c r="A112" s="102" t="s">
        <v>120</v>
      </c>
      <c r="B112" s="114">
        <v>41.5</v>
      </c>
      <c r="C112" s="114">
        <v>39.700000000000003</v>
      </c>
      <c r="D112" s="114">
        <v>36.200000000000003</v>
      </c>
      <c r="E112" s="114">
        <v>32.9</v>
      </c>
      <c r="F112" s="114">
        <v>38.1</v>
      </c>
      <c r="G112" s="114">
        <v>42.4</v>
      </c>
      <c r="H112" s="114">
        <v>53</v>
      </c>
      <c r="I112" s="114">
        <v>57.3</v>
      </c>
      <c r="J112" s="114">
        <v>70.599999999999994</v>
      </c>
      <c r="K112" s="114">
        <v>81.099999999999994</v>
      </c>
      <c r="L112" s="114">
        <v>77.8</v>
      </c>
      <c r="M112" s="114">
        <v>77.400000000000006</v>
      </c>
      <c r="N112" s="114">
        <v>77.400000000000006</v>
      </c>
      <c r="O112" s="114">
        <v>88</v>
      </c>
      <c r="P112" s="114">
        <v>81.5</v>
      </c>
      <c r="Q112" s="114">
        <v>0</v>
      </c>
      <c r="R112" s="114"/>
      <c r="S112" s="114"/>
      <c r="T112" s="114">
        <v>89.8</v>
      </c>
      <c r="U112" s="114">
        <v>71.5</v>
      </c>
      <c r="V112" s="114">
        <v>67.400000000000006</v>
      </c>
      <c r="W112" s="114">
        <v>78.2</v>
      </c>
      <c r="X112" s="114">
        <v>74.099999999999994</v>
      </c>
      <c r="Y112" s="114">
        <v>72.5</v>
      </c>
      <c r="Z112" s="114">
        <v>73</v>
      </c>
      <c r="AA112" s="114">
        <v>75.2</v>
      </c>
      <c r="AB112" s="114">
        <v>78</v>
      </c>
      <c r="AC112" s="114">
        <v>78.7</v>
      </c>
      <c r="AD112" s="114">
        <v>78.7</v>
      </c>
      <c r="AE112" s="114">
        <v>47</v>
      </c>
      <c r="AF112" s="114">
        <v>45.1</v>
      </c>
      <c r="AG112" s="113">
        <v>240</v>
      </c>
      <c r="AH112" s="47">
        <f t="shared" si="9"/>
        <v>89.8</v>
      </c>
      <c r="AI112" s="48">
        <f t="shared" si="10"/>
        <v>0</v>
      </c>
    </row>
    <row r="113" spans="1:37" x14ac:dyDescent="0.25">
      <c r="A113" s="102" t="s">
        <v>121</v>
      </c>
      <c r="B113" s="114">
        <f>-84.8-88.4</f>
        <v>-173.2</v>
      </c>
      <c r="C113" s="114">
        <f>-83.6-88</f>
        <v>-171.6</v>
      </c>
      <c r="D113" s="114">
        <f>-82.6-86.7</f>
        <v>-169.3</v>
      </c>
      <c r="E113" s="114">
        <f>-83-87</f>
        <v>-170</v>
      </c>
      <c r="F113" s="114">
        <f>-88-92</f>
        <v>-180</v>
      </c>
      <c r="G113" s="114">
        <f>-83-87</f>
        <v>-170</v>
      </c>
      <c r="H113" s="114">
        <f>-77-80</f>
        <v>-157</v>
      </c>
      <c r="I113" s="114">
        <f>-76-80</f>
        <v>-156</v>
      </c>
      <c r="J113" s="114">
        <f>-68-72</f>
        <v>-140</v>
      </c>
      <c r="K113" s="114">
        <f>-58-62</f>
        <v>-120</v>
      </c>
      <c r="L113" s="114">
        <f>-58-64</f>
        <v>-122</v>
      </c>
      <c r="M113" s="114">
        <v>-115</v>
      </c>
      <c r="N113" s="114">
        <v>-115</v>
      </c>
      <c r="O113" s="114">
        <v>-109.7</v>
      </c>
      <c r="P113" s="114">
        <v>-120.9</v>
      </c>
      <c r="Q113" s="114">
        <v>-70</v>
      </c>
      <c r="R113" s="114"/>
      <c r="S113" s="114"/>
      <c r="T113" s="114">
        <v>-183</v>
      </c>
      <c r="U113" s="114">
        <v>-120</v>
      </c>
      <c r="V113" s="114">
        <v>-125</v>
      </c>
      <c r="W113" s="114">
        <v>-130</v>
      </c>
      <c r="X113" s="114">
        <v>-105</v>
      </c>
      <c r="Y113" s="114">
        <v>-95</v>
      </c>
      <c r="Z113" s="114">
        <v>-102</v>
      </c>
      <c r="AA113" s="114">
        <v>-115</v>
      </c>
      <c r="AB113" s="114">
        <v>-104</v>
      </c>
      <c r="AC113" s="114">
        <v>-120</v>
      </c>
      <c r="AD113" s="114">
        <v>-120</v>
      </c>
      <c r="AE113" s="114">
        <v>-136</v>
      </c>
      <c r="AF113" s="114">
        <v>-150</v>
      </c>
      <c r="AG113" s="113">
        <v>240</v>
      </c>
      <c r="AH113" s="47">
        <f t="shared" si="9"/>
        <v>-70</v>
      </c>
      <c r="AI113" s="48">
        <f t="shared" si="10"/>
        <v>-183</v>
      </c>
    </row>
    <row r="114" spans="1:37" x14ac:dyDescent="0.25">
      <c r="A114" s="102" t="s">
        <v>122</v>
      </c>
      <c r="B114" s="114">
        <v>-14.3</v>
      </c>
      <c r="C114" s="114">
        <v>-17.899999999999999</v>
      </c>
      <c r="D114" s="114">
        <v>-18.2</v>
      </c>
      <c r="E114" s="114">
        <v>-17.2</v>
      </c>
      <c r="F114" s="114">
        <v>-17.600000000000001</v>
      </c>
      <c r="G114" s="114">
        <v>-15.9</v>
      </c>
      <c r="H114" s="114">
        <v>-14.7</v>
      </c>
      <c r="I114" s="114">
        <v>-11.1</v>
      </c>
      <c r="J114" s="114">
        <v>-8.1</v>
      </c>
      <c r="K114" s="114">
        <v>-5.0999999999999996</v>
      </c>
      <c r="L114" s="114">
        <v>1.6</v>
      </c>
      <c r="M114" s="114">
        <v>15.2</v>
      </c>
      <c r="N114" s="114">
        <v>15.2</v>
      </c>
      <c r="O114" s="114">
        <v>26.4</v>
      </c>
      <c r="P114" s="114">
        <v>28</v>
      </c>
      <c r="Q114" s="114">
        <v>28.1</v>
      </c>
      <c r="R114" s="114"/>
      <c r="S114" s="114"/>
      <c r="T114" s="114">
        <v>11.6</v>
      </c>
      <c r="U114" s="114">
        <v>11.6</v>
      </c>
      <c r="V114" s="114">
        <v>23.1</v>
      </c>
      <c r="W114" s="114">
        <v>22.5</v>
      </c>
      <c r="X114" s="114">
        <v>26.1</v>
      </c>
      <c r="Y114" s="114">
        <v>41.7</v>
      </c>
      <c r="Z114" s="114">
        <v>39.5</v>
      </c>
      <c r="AA114" s="114">
        <v>19.600000000000001</v>
      </c>
      <c r="AB114" s="114">
        <v>8.3000000000000007</v>
      </c>
      <c r="AC114" s="114">
        <v>4.0999999999999996</v>
      </c>
      <c r="AD114" s="114">
        <v>4.0999999999999996</v>
      </c>
      <c r="AE114" s="114">
        <v>-4</v>
      </c>
      <c r="AF114" s="114">
        <v>-13.6</v>
      </c>
      <c r="AG114" s="113">
        <v>60</v>
      </c>
      <c r="AH114" s="47">
        <f t="shared" si="9"/>
        <v>41.7</v>
      </c>
      <c r="AI114" s="48">
        <f t="shared" si="10"/>
        <v>-18.2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45.6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/>
      <c r="S115" s="116"/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9"/>
        <v>45.6</v>
      </c>
      <c r="AI115" s="48">
        <f t="shared" si="10"/>
        <v>0</v>
      </c>
    </row>
    <row r="116" spans="1:37" x14ac:dyDescent="0.25">
      <c r="A116" s="115" t="s">
        <v>124</v>
      </c>
      <c r="B116" s="116">
        <v>44.5</v>
      </c>
      <c r="C116" s="116">
        <v>40.5</v>
      </c>
      <c r="D116" s="116">
        <v>51.2</v>
      </c>
      <c r="E116" s="116">
        <v>23</v>
      </c>
      <c r="F116" s="116">
        <v>20.8</v>
      </c>
      <c r="G116" s="116">
        <v>35.4</v>
      </c>
      <c r="H116" s="116">
        <v>-1.4</v>
      </c>
      <c r="I116" s="116">
        <v>30.6</v>
      </c>
      <c r="J116" s="116">
        <v>44.4</v>
      </c>
      <c r="K116" s="116">
        <v>65.3</v>
      </c>
      <c r="L116" s="116">
        <v>62.9</v>
      </c>
      <c r="M116" s="116">
        <v>65.2</v>
      </c>
      <c r="N116" s="116">
        <v>65.2</v>
      </c>
      <c r="O116" s="116">
        <v>80.599999999999994</v>
      </c>
      <c r="P116" s="116">
        <v>71.7</v>
      </c>
      <c r="Q116" s="116">
        <v>50.5</v>
      </c>
      <c r="R116" s="116"/>
      <c r="S116" s="116"/>
      <c r="T116" s="116">
        <v>89</v>
      </c>
      <c r="U116" s="116">
        <v>89</v>
      </c>
      <c r="V116" s="116">
        <v>16.3</v>
      </c>
      <c r="W116" s="116">
        <v>2</v>
      </c>
      <c r="X116" s="116">
        <v>49.1</v>
      </c>
      <c r="Y116" s="116">
        <v>64.7</v>
      </c>
      <c r="Z116" s="116">
        <v>73.099999999999994</v>
      </c>
      <c r="AA116" s="116">
        <v>70.400000000000006</v>
      </c>
      <c r="AB116" s="116">
        <v>71.3</v>
      </c>
      <c r="AC116" s="116">
        <v>40</v>
      </c>
      <c r="AD116" s="116">
        <v>40</v>
      </c>
      <c r="AE116" s="116">
        <v>37.200000000000003</v>
      </c>
      <c r="AF116" s="116">
        <v>85</v>
      </c>
      <c r="AG116" s="117"/>
      <c r="AH116" s="47">
        <f t="shared" si="9"/>
        <v>89</v>
      </c>
      <c r="AI116" s="48">
        <f t="shared" si="10"/>
        <v>-1.4</v>
      </c>
    </row>
    <row r="117" spans="1:37" x14ac:dyDescent="0.25">
      <c r="A117" s="115" t="s">
        <v>125</v>
      </c>
      <c r="B117" s="116">
        <v>13.3</v>
      </c>
      <c r="C117" s="116">
        <v>6.7</v>
      </c>
      <c r="D117" s="116">
        <v>8.1999999999999993</v>
      </c>
      <c r="E117" s="116">
        <v>8.1999999999999993</v>
      </c>
      <c r="F117" s="116">
        <v>-2</v>
      </c>
      <c r="G117" s="116">
        <v>-5.7</v>
      </c>
      <c r="H117" s="116">
        <v>-3.8</v>
      </c>
      <c r="I117" s="116">
        <v>-12.6</v>
      </c>
      <c r="J117" s="116">
        <v>-16.7</v>
      </c>
      <c r="K117" s="116">
        <v>-29.2</v>
      </c>
      <c r="L117" s="116">
        <v>-27.6</v>
      </c>
      <c r="M117" s="116">
        <v>-24</v>
      </c>
      <c r="N117" s="116">
        <v>-24</v>
      </c>
      <c r="O117" s="116">
        <v>-23.3</v>
      </c>
      <c r="P117" s="116">
        <v>-15.8</v>
      </c>
      <c r="Q117" s="116">
        <v>-28</v>
      </c>
      <c r="R117" s="116"/>
      <c r="S117" s="116"/>
      <c r="T117" s="116">
        <v>13.1</v>
      </c>
      <c r="U117" s="116">
        <v>13.1</v>
      </c>
      <c r="V117" s="116">
        <v>-16</v>
      </c>
      <c r="W117" s="116">
        <v>-26.1</v>
      </c>
      <c r="X117" s="116">
        <v>-10</v>
      </c>
      <c r="Y117" s="116">
        <v>-11.9</v>
      </c>
      <c r="Z117" s="116">
        <v>-14.3</v>
      </c>
      <c r="AA117" s="116">
        <v>-16.8</v>
      </c>
      <c r="AB117" s="116">
        <v>-22.2</v>
      </c>
      <c r="AC117" s="116">
        <v>-24</v>
      </c>
      <c r="AD117" s="116">
        <v>-24</v>
      </c>
      <c r="AE117" s="116">
        <v>0</v>
      </c>
      <c r="AF117" s="116">
        <v>12</v>
      </c>
      <c r="AG117" s="118"/>
      <c r="AH117" s="47">
        <f t="shared" si="9"/>
        <v>13.3</v>
      </c>
      <c r="AI117" s="48">
        <f t="shared" si="10"/>
        <v>-29.2</v>
      </c>
    </row>
    <row r="118" spans="1:37" x14ac:dyDescent="0.25">
      <c r="A118" s="119" t="s">
        <v>126</v>
      </c>
      <c r="B118" s="105">
        <v>58.2</v>
      </c>
      <c r="C118" s="105">
        <v>61</v>
      </c>
      <c r="D118" s="105">
        <v>61.5</v>
      </c>
      <c r="E118" s="105">
        <v>64.2</v>
      </c>
      <c r="F118" s="105">
        <v>67.7</v>
      </c>
      <c r="G118" s="105">
        <v>68.900000000000006</v>
      </c>
      <c r="H118" s="105">
        <v>69.599999999999994</v>
      </c>
      <c r="I118" s="105">
        <v>68.400000000000006</v>
      </c>
      <c r="J118" s="105">
        <v>62.8</v>
      </c>
      <c r="K118" s="105">
        <v>56.9</v>
      </c>
      <c r="L118" s="105">
        <v>53.7</v>
      </c>
      <c r="M118" s="105">
        <v>50.3</v>
      </c>
      <c r="N118" s="105">
        <v>50.3</v>
      </c>
      <c r="O118" s="105">
        <v>47.2</v>
      </c>
      <c r="P118" s="105">
        <v>49</v>
      </c>
      <c r="Q118" s="105">
        <v>44.4</v>
      </c>
      <c r="R118" s="105"/>
      <c r="S118" s="105"/>
      <c r="T118" s="105">
        <v>53.3</v>
      </c>
      <c r="U118" s="105">
        <v>53.3</v>
      </c>
      <c r="V118" s="105">
        <v>38.4</v>
      </c>
      <c r="W118" s="105">
        <v>36.5</v>
      </c>
      <c r="X118" s="105">
        <v>23.6</v>
      </c>
      <c r="Y118" s="105">
        <v>26.7</v>
      </c>
      <c r="Z118" s="105">
        <v>24.3</v>
      </c>
      <c r="AA118" s="105">
        <v>26</v>
      </c>
      <c r="AB118" s="105">
        <v>22</v>
      </c>
      <c r="AC118" s="105">
        <v>25.4</v>
      </c>
      <c r="AD118" s="105">
        <v>25.4</v>
      </c>
      <c r="AE118" s="105">
        <v>45</v>
      </c>
      <c r="AF118" s="105">
        <v>51</v>
      </c>
      <c r="AG118" s="118"/>
      <c r="AH118" s="47">
        <f t="shared" si="9"/>
        <v>69.599999999999994</v>
      </c>
      <c r="AI118" s="48">
        <f t="shared" si="10"/>
        <v>22</v>
      </c>
    </row>
    <row r="119" spans="1:37" x14ac:dyDescent="0.25">
      <c r="A119" s="120" t="s">
        <v>127</v>
      </c>
      <c r="B119" s="105">
        <v>80.8</v>
      </c>
      <c r="C119" s="105">
        <v>83.1</v>
      </c>
      <c r="D119" s="105">
        <v>77.2</v>
      </c>
      <c r="E119" s="105">
        <v>83</v>
      </c>
      <c r="F119" s="105">
        <v>94.8</v>
      </c>
      <c r="G119" s="105">
        <v>84.1</v>
      </c>
      <c r="H119" s="105">
        <v>83.3</v>
      </c>
      <c r="I119" s="105">
        <v>89.5</v>
      </c>
      <c r="J119" s="105">
        <v>84.1</v>
      </c>
      <c r="K119" s="105">
        <v>75.8</v>
      </c>
      <c r="L119" s="105">
        <v>75</v>
      </c>
      <c r="M119" s="105">
        <v>74.400000000000006</v>
      </c>
      <c r="N119" s="105">
        <v>74.400000000000006</v>
      </c>
      <c r="O119" s="105">
        <v>66</v>
      </c>
      <c r="P119" s="105">
        <v>66.3</v>
      </c>
      <c r="Q119" s="105">
        <v>68</v>
      </c>
      <c r="R119" s="105"/>
      <c r="S119" s="105"/>
      <c r="T119" s="105">
        <v>52.6</v>
      </c>
      <c r="U119" s="105">
        <v>52.6</v>
      </c>
      <c r="V119" s="105">
        <v>73.900000000000006</v>
      </c>
      <c r="W119" s="105">
        <v>81.5</v>
      </c>
      <c r="X119" s="105">
        <v>57</v>
      </c>
      <c r="Y119" s="105">
        <v>53.5</v>
      </c>
      <c r="Z119" s="105">
        <v>54.6</v>
      </c>
      <c r="AA119" s="105">
        <v>62.7</v>
      </c>
      <c r="AB119" s="105">
        <v>63.7</v>
      </c>
      <c r="AC119" s="105">
        <v>73</v>
      </c>
      <c r="AD119" s="105">
        <v>73</v>
      </c>
      <c r="AE119" s="105">
        <v>75</v>
      </c>
      <c r="AF119" s="105">
        <v>81.400000000000006</v>
      </c>
      <c r="AG119" s="118"/>
      <c r="AH119" s="47">
        <f t="shared" si="9"/>
        <v>94.8</v>
      </c>
      <c r="AI119" s="48">
        <f t="shared" si="10"/>
        <v>52.6</v>
      </c>
    </row>
    <row r="120" spans="1:37" ht="15.75" thickBot="1" x14ac:dyDescent="0.3">
      <c r="A120" s="119" t="s">
        <v>128</v>
      </c>
      <c r="B120" s="105">
        <v>19.5</v>
      </c>
      <c r="C120" s="105">
        <v>16.3</v>
      </c>
      <c r="D120" s="105">
        <v>10.9</v>
      </c>
      <c r="E120" s="105">
        <v>3.8</v>
      </c>
      <c r="F120" s="105">
        <v>1.4</v>
      </c>
      <c r="G120" s="105">
        <v>-9.6</v>
      </c>
      <c r="H120" s="105">
        <v>-10.3</v>
      </c>
      <c r="I120" s="105">
        <v>-13</v>
      </c>
      <c r="J120" s="105">
        <v>-6.3</v>
      </c>
      <c r="K120" s="105">
        <v>-1.1000000000000001</v>
      </c>
      <c r="L120" s="105">
        <v>2.5</v>
      </c>
      <c r="M120" s="105">
        <v>4.8</v>
      </c>
      <c r="N120" s="105">
        <v>4.8</v>
      </c>
      <c r="O120" s="105">
        <v>13.8</v>
      </c>
      <c r="P120" s="105">
        <v>19</v>
      </c>
      <c r="Q120" s="105">
        <v>23</v>
      </c>
      <c r="R120" s="105"/>
      <c r="S120" s="105"/>
      <c r="T120" s="105">
        <v>16.5</v>
      </c>
      <c r="U120" s="105">
        <v>16.5</v>
      </c>
      <c r="V120" s="105">
        <v>6.6</v>
      </c>
      <c r="W120" s="105">
        <v>9.1</v>
      </c>
      <c r="X120" s="105">
        <v>26.2</v>
      </c>
      <c r="Y120" s="105">
        <v>34.6</v>
      </c>
      <c r="Z120" s="105">
        <v>36.1</v>
      </c>
      <c r="AA120" s="105">
        <v>33.6</v>
      </c>
      <c r="AB120" s="105">
        <v>25.8</v>
      </c>
      <c r="AC120" s="105">
        <v>26</v>
      </c>
      <c r="AD120" s="105">
        <v>26</v>
      </c>
      <c r="AE120" s="105">
        <v>19.3</v>
      </c>
      <c r="AF120" s="105">
        <v>18</v>
      </c>
      <c r="AG120" s="118"/>
      <c r="AH120" s="47">
        <f t="shared" si="9"/>
        <v>36.1</v>
      </c>
      <c r="AI120" s="48">
        <f t="shared" si="10"/>
        <v>-13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2194.9700000000003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2080/05/11)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2124.67</v>
      </c>
      <c r="U249" s="170">
        <f t="shared" si="23"/>
        <v>2104.0700000000002</v>
      </c>
      <c r="V249" s="170">
        <f t="shared" si="23"/>
        <v>2092.8700000000003</v>
      </c>
      <c r="W249" s="170">
        <f t="shared" si="23"/>
        <v>2084.4699999999998</v>
      </c>
      <c r="X249" s="170">
        <f t="shared" si="23"/>
        <v>2086.77</v>
      </c>
      <c r="Y249" s="170">
        <f t="shared" si="23"/>
        <v>2088.17</v>
      </c>
      <c r="Z249" s="170">
        <f t="shared" si="23"/>
        <v>2127.37</v>
      </c>
      <c r="AA249" s="170">
        <f t="shared" si="23"/>
        <v>2130.5700000000002</v>
      </c>
      <c r="AB249" s="170">
        <f t="shared" si="23"/>
        <v>2177.4700000000003</v>
      </c>
      <c r="AC249" s="170">
        <f t="shared" si="23"/>
        <v>2186.4700000000003</v>
      </c>
      <c r="AD249" s="170">
        <f t="shared" si="23"/>
        <v>2194.9700000000003</v>
      </c>
      <c r="AE249" s="170">
        <f t="shared" si="23"/>
        <v>2194.9700000000003</v>
      </c>
      <c r="AF249" s="170">
        <f t="shared" si="23"/>
        <v>2194.9700000000003</v>
      </c>
      <c r="AG249" s="170">
        <f t="shared" si="23"/>
        <v>2209.67</v>
      </c>
      <c r="AH249" s="170">
        <f t="shared" si="23"/>
        <v>2236.9699999999998</v>
      </c>
      <c r="AI249" s="170">
        <f t="shared" si="23"/>
        <v>2230.9699999999998</v>
      </c>
      <c r="AJ249" s="170">
        <f t="shared" si="23"/>
        <v>3.54</v>
      </c>
      <c r="AK249" s="170">
        <f t="shared" si="23"/>
        <v>3.54</v>
      </c>
      <c r="AL249" s="170">
        <f t="shared" si="23"/>
        <v>2211.8399999999997</v>
      </c>
      <c r="AM249" s="170">
        <f t="shared" si="23"/>
        <v>2130.64</v>
      </c>
      <c r="AN249" s="170">
        <f t="shared" si="23"/>
        <v>2244.8399999999997</v>
      </c>
      <c r="AO249" s="170">
        <f t="shared" si="23"/>
        <v>2256.54</v>
      </c>
      <c r="AP249" s="170">
        <f t="shared" si="23"/>
        <v>2268.3399999999997</v>
      </c>
      <c r="AQ249" s="170">
        <f t="shared" si="23"/>
        <v>2366.3399999999997</v>
      </c>
      <c r="AR249" s="170">
        <f t="shared" si="23"/>
        <v>2328.5399999999995</v>
      </c>
      <c r="AS249" s="170">
        <f t="shared" si="23"/>
        <v>2310.3399999999997</v>
      </c>
      <c r="AT249" s="170">
        <f t="shared" si="23"/>
        <v>2249.2399999999998</v>
      </c>
      <c r="AU249" s="170">
        <f t="shared" si="23"/>
        <v>2239.2399999999998</v>
      </c>
      <c r="AV249" s="170">
        <f t="shared" si="23"/>
        <v>2217.4399999999996</v>
      </c>
      <c r="AW249" s="170">
        <f t="shared" si="23"/>
        <v>2158.6400000000003</v>
      </c>
      <c r="AX249" s="170">
        <f t="shared" si="23"/>
        <v>2155.34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648" priority="114">
      <formula>$AH11=0</formula>
    </cfRule>
  </conditionalFormatting>
  <conditionalFormatting sqref="B8 M8 S8 AB8">
    <cfRule type="expression" dxfId="2647" priority="165">
      <formula>AND(C$9&gt;=14/24,C$9&lt;20/24)</formula>
    </cfRule>
    <cfRule type="expression" dxfId="2646" priority="166">
      <formula>AND(C$9&gt;=8/24,C$9&lt;14/24)</formula>
    </cfRule>
    <cfRule type="expression" dxfId="2645" priority="167">
      <formula>C$9&lt;8/24</formula>
    </cfRule>
  </conditionalFormatting>
  <conditionalFormatting sqref="E60:R60 T11:T16 R17:T45 U11:AF45">
    <cfRule type="expression" dxfId="2644" priority="101">
      <formula>E$9&gt;=20/24</formula>
    </cfRule>
    <cfRule type="expression" dxfId="2643" priority="102">
      <formula>AND(E$9&gt;=14/24,E$9&lt;20/24)</formula>
    </cfRule>
    <cfRule type="expression" dxfId="2642" priority="103">
      <formula>AND(E$9&gt;=8/24,E$9&lt;14/24)</formula>
    </cfRule>
    <cfRule type="expression" dxfId="2641" priority="104">
      <formula>E$9&lt;8/24</formula>
    </cfRule>
  </conditionalFormatting>
  <conditionalFormatting sqref="E61:AF66">
    <cfRule type="expression" dxfId="2640" priority="84">
      <formula>E$9&gt;=20/24</formula>
    </cfRule>
    <cfRule type="expression" dxfId="2639" priority="85">
      <formula>AND(E$9&gt;=14/24,E$9&lt;20/24)</formula>
    </cfRule>
    <cfRule type="expression" dxfId="2638" priority="86">
      <formula>AND(E$9&gt;=8/24,E$9&lt;14/24)</formula>
    </cfRule>
    <cfRule type="expression" dxfId="2637" priority="87">
      <formula>E$9&lt;8/24</formula>
    </cfRule>
  </conditionalFormatting>
  <conditionalFormatting sqref="B9:AF10 E11:N21 O27:Q27 O11:Q24">
    <cfRule type="expression" dxfId="2636" priority="73">
      <formula>B$9&gt;=20/24</formula>
    </cfRule>
    <cfRule type="expression" dxfId="2635" priority="74">
      <formula>AND(B$9&gt;=14/24,B$9&lt;20/24)</formula>
    </cfRule>
    <cfRule type="expression" dxfId="2634" priority="75">
      <formula>AND(B$9&gt;=8/24,B$9&lt;14/24)</formula>
    </cfRule>
    <cfRule type="expression" dxfId="2633" priority="76">
      <formula>B$9&lt;8/24</formula>
    </cfRule>
  </conditionalFormatting>
  <conditionalFormatting sqref="E11:N21 O27:Q27 O11:Q24 R11:AF46">
    <cfRule type="expression" dxfId="2632" priority="72">
      <formula>E11&gt;$AG11</formula>
    </cfRule>
  </conditionalFormatting>
  <conditionalFormatting sqref="R46:AF46">
    <cfRule type="expression" dxfId="2631" priority="68">
      <formula>R$9&gt;=20/24</formula>
    </cfRule>
    <cfRule type="expression" dxfId="2630" priority="69">
      <formula>AND(R$9&gt;=14/24,R$9&lt;20/24)</formula>
    </cfRule>
    <cfRule type="expression" dxfId="2629" priority="70">
      <formula>AND(R$9&gt;=8/24,R$9&lt;14/24)</formula>
    </cfRule>
    <cfRule type="expression" dxfId="2628" priority="71">
      <formula>R$9&lt;8/24</formula>
    </cfRule>
  </conditionalFormatting>
  <conditionalFormatting sqref="R47:AF47">
    <cfRule type="expression" dxfId="2627" priority="82">
      <formula>R47&gt;$AG47</formula>
    </cfRule>
  </conditionalFormatting>
  <conditionalFormatting sqref="E49:L49 H48:L48 M48:Q49 R47:AF49">
    <cfRule type="expression" dxfId="2626" priority="78">
      <formula>E$9&gt;=20/24</formula>
    </cfRule>
    <cfRule type="expression" dxfId="2625" priority="79">
      <formula>AND(E$9&gt;=14/24,E$9&lt;20/24)</formula>
    </cfRule>
    <cfRule type="expression" dxfId="2624" priority="80">
      <formula>AND(E$9&gt;=8/24,E$9&lt;14/24)</formula>
    </cfRule>
    <cfRule type="expression" dxfId="2623" priority="81">
      <formula>E$9&lt;8/24</formula>
    </cfRule>
  </conditionalFormatting>
  <conditionalFormatting sqref="E50:AF50 H48:AE48 E49:AE49 AF48:AF49 R51:AF53">
    <cfRule type="expression" dxfId="2622" priority="77">
      <formula>E48&gt;$AG48</formula>
    </cfRule>
  </conditionalFormatting>
  <conditionalFormatting sqref="R51:AF53">
    <cfRule type="expression" dxfId="2621" priority="97">
      <formula>R$9&gt;=20/24</formula>
    </cfRule>
    <cfRule type="expression" dxfId="2620" priority="98">
      <formula>AND(R$9&gt;=14/24,R$9&lt;20/24)</formula>
    </cfRule>
    <cfRule type="expression" dxfId="2619" priority="99">
      <formula>AND(R$9&gt;=8/24,R$9&lt;14/24)</formula>
    </cfRule>
    <cfRule type="expression" dxfId="2618" priority="100">
      <formula>R$9&lt;8/24</formula>
    </cfRule>
  </conditionalFormatting>
  <conditionalFormatting sqref="B54:AG54 B69:AF71">
    <cfRule type="expression" dxfId="2617" priority="105">
      <formula>B54&gt;$AG54</formula>
    </cfRule>
    <cfRule type="expression" dxfId="2616" priority="106">
      <formula>B$9&gt;=20/24</formula>
    </cfRule>
    <cfRule type="expression" dxfId="2615" priority="107">
      <formula>AND(B$9&gt;=14/24,B$9&lt;20/24)</formula>
    </cfRule>
    <cfRule type="expression" dxfId="2614" priority="108">
      <formula>AND(B$9&gt;=8/24,B$9&lt;14/24)</formula>
    </cfRule>
    <cfRule type="expression" dxfId="2613" priority="109">
      <formula>B$9&lt;8/24</formula>
    </cfRule>
  </conditionalFormatting>
  <conditionalFormatting sqref="C76:D91 E73:AF91">
    <cfRule type="expression" dxfId="2612" priority="51">
      <formula>C$9&gt;=20/24</formula>
    </cfRule>
    <cfRule type="expression" dxfId="2611" priority="52">
      <formula>AND(C$9&gt;=14/24,C$9&lt;20/24)</formula>
    </cfRule>
    <cfRule type="expression" dxfId="2610" priority="53">
      <formula>AND(C$9&gt;=8/24,C$9&lt;14/24)</formula>
    </cfRule>
    <cfRule type="expression" dxfId="2609" priority="54">
      <formula>C$9&lt;8/24</formula>
    </cfRule>
  </conditionalFormatting>
  <conditionalFormatting sqref="C111:AF120">
    <cfRule type="expression" dxfId="2608" priority="64">
      <formula>C$9&gt;=20/24</formula>
    </cfRule>
    <cfRule type="expression" dxfId="2607" priority="65">
      <formula>AND(C$9&gt;=14/24,C$9&lt;20/24)</formula>
    </cfRule>
    <cfRule type="expression" dxfId="2606" priority="66">
      <formula>AND(C$9&gt;=8/24,C$9&lt;14/24)</formula>
    </cfRule>
    <cfRule type="expression" dxfId="2605" priority="67">
      <formula>C$9&lt;8/24</formula>
    </cfRule>
  </conditionalFormatting>
  <conditionalFormatting sqref="B227:AF227 D229:AF230 B229:B235 D231:H231 J231:AF231 D232:AF235 U248:AF248">
    <cfRule type="expression" dxfId="2604" priority="158">
      <formula>B$9&gt;=20/24</formula>
    </cfRule>
    <cfRule type="expression" dxfId="2603" priority="159">
      <formula>AND(B$9&gt;=14/24,B$9&lt;20/24)</formula>
    </cfRule>
    <cfRule type="expression" dxfId="2602" priority="160">
      <formula>AND(B$9&gt;=8/24,B$9&lt;14/24)</formula>
    </cfRule>
    <cfRule type="expression" dxfId="2601" priority="161">
      <formula>B$9&lt;8/24</formula>
    </cfRule>
  </conditionalFormatting>
  <conditionalFormatting sqref="E67:AG68 E72:AG72">
    <cfRule type="expression" dxfId="2600" priority="92">
      <formula>E67&gt;$AG67</formula>
    </cfRule>
  </conditionalFormatting>
  <conditionalFormatting sqref="E72:AG72 C93:AF109">
    <cfRule type="expression" dxfId="2599" priority="93">
      <formula>C$9&gt;=20/24</formula>
    </cfRule>
    <cfRule type="expression" dxfId="2598" priority="94">
      <formula>AND(C$9&gt;=14/24,C$9&lt;20/24)</formula>
    </cfRule>
    <cfRule type="expression" dxfId="2597" priority="95">
      <formula>AND(C$9&gt;=8/24,C$9&lt;14/24)</formula>
    </cfRule>
    <cfRule type="expression" dxfId="2596" priority="96">
      <formula>C$9&lt;8/24</formula>
    </cfRule>
  </conditionalFormatting>
  <conditionalFormatting sqref="E55:AF66">
    <cfRule type="expression" dxfId="2595" priority="55">
      <formula>E55&gt;$AG55</formula>
    </cfRule>
  </conditionalFormatting>
  <conditionalFormatting sqref="E55:N57">
    <cfRule type="expression" dxfId="2594" priority="139">
      <formula>E$9&gt;=20/24</formula>
    </cfRule>
    <cfRule type="expression" dxfId="2593" priority="140">
      <formula>AND(E$9&gt;=14/24,E$9&lt;20/24)</formula>
    </cfRule>
    <cfRule type="expression" dxfId="2592" priority="141">
      <formula>AND(E$9&gt;=8/24,E$9&lt;14/24)</formula>
    </cfRule>
    <cfRule type="expression" dxfId="2591" priority="142">
      <formula>E$9&lt;8/24</formula>
    </cfRule>
  </conditionalFormatting>
  <conditionalFormatting sqref="M55:R59">
    <cfRule type="expression" dxfId="2590" priority="143">
      <formula>M$9&gt;=20/24</formula>
    </cfRule>
    <cfRule type="expression" dxfId="2589" priority="144">
      <formula>AND(M$9&gt;=14/24,M$9&lt;20/24)</formula>
    </cfRule>
    <cfRule type="expression" dxfId="2588" priority="145">
      <formula>AND(M$9&gt;=8/24,M$9&lt;14/24)</formula>
    </cfRule>
    <cfRule type="expression" dxfId="2587" priority="146">
      <formula>M$9&lt;8/24</formula>
    </cfRule>
  </conditionalFormatting>
  <conditionalFormatting sqref="O3:P3">
    <cfRule type="iconSet" priority="16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586" priority="164">
      <formula>C$9&gt;=20/24</formula>
    </cfRule>
  </conditionalFormatting>
  <conditionalFormatting sqref="S8">
    <cfRule type="expression" dxfId="2585" priority="151">
      <formula>U$9&gt;=20/24</formula>
    </cfRule>
    <cfRule type="expression" dxfId="2584" priority="152">
      <formula>AND(U$9&gt;=14/24,U$9&lt;20/24)</formula>
    </cfRule>
    <cfRule type="expression" dxfId="2583" priority="153">
      <formula>AND(U$9&gt;=8/24,U$9&lt;14/24)</formula>
    </cfRule>
    <cfRule type="expression" dxfId="2582" priority="154">
      <formula>U$9&lt;8/24</formula>
    </cfRule>
  </conditionalFormatting>
  <conditionalFormatting sqref="S55:AF60">
    <cfRule type="expression" dxfId="2581" priority="60">
      <formula>S$9&gt;=20/24</formula>
    </cfRule>
    <cfRule type="expression" dxfId="2580" priority="61">
      <formula>AND(S$9&gt;=14/24,S$9&lt;20/24)</formula>
    </cfRule>
    <cfRule type="expression" dxfId="2579" priority="62">
      <formula>AND(S$9&gt;=8/24,S$9&lt;14/24)</formula>
    </cfRule>
    <cfRule type="expression" dxfId="2578" priority="63">
      <formula>S$9&lt;8/24</formula>
    </cfRule>
  </conditionalFormatting>
  <conditionalFormatting sqref="T248">
    <cfRule type="expression" dxfId="2577" priority="176">
      <formula>AX$9&gt;=20/24</formula>
    </cfRule>
    <cfRule type="expression" dxfId="2576" priority="177">
      <formula>AND(AX$9&gt;=14/24,AX$9&lt;20/24)</formula>
    </cfRule>
    <cfRule type="expression" dxfId="2575" priority="178">
      <formula>AND(AX$9&gt;=8/24,AX$9&lt;14/24)</formula>
    </cfRule>
    <cfRule type="expression" dxfId="2574" priority="179">
      <formula>AX$9&lt;8/24</formula>
    </cfRule>
  </conditionalFormatting>
  <conditionalFormatting sqref="V3 AB3">
    <cfRule type="iconSet" priority="16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573" priority="147">
      <formula>AD$9&gt;=20/24</formula>
    </cfRule>
    <cfRule type="expression" dxfId="2572" priority="148">
      <formula>AND(AD$9&gt;=14/24,AD$9&lt;20/24)</formula>
    </cfRule>
    <cfRule type="expression" dxfId="2571" priority="149">
      <formula>AND(AD$9&gt;=8/24,AD$9&lt;14/24)</formula>
    </cfRule>
    <cfRule type="expression" dxfId="2570" priority="150">
      <formula>AD$9&lt;8/24</formula>
    </cfRule>
  </conditionalFormatting>
  <conditionalFormatting sqref="AE61:AF66">
    <cfRule type="expression" dxfId="2569" priority="56">
      <formula>AE$9&gt;=20/24</formula>
    </cfRule>
    <cfRule type="expression" dxfId="2568" priority="57">
      <formula>AND(AE$9&gt;=14/24,AE$9&lt;20/24)</formula>
    </cfRule>
    <cfRule type="expression" dxfId="2567" priority="58">
      <formula>AND(AE$9&gt;=8/24,AE$9&lt;14/24)</formula>
    </cfRule>
    <cfRule type="expression" dxfId="2566" priority="59">
      <formula>AE$9&lt;8/24</formula>
    </cfRule>
  </conditionalFormatting>
  <conditionalFormatting sqref="AG50">
    <cfRule type="expression" dxfId="2565" priority="134">
      <formula>AG50&gt;$AG50</formula>
    </cfRule>
  </conditionalFormatting>
  <conditionalFormatting sqref="AG89">
    <cfRule type="expression" dxfId="2564" priority="135">
      <formula>AG$9&gt;=20/24</formula>
    </cfRule>
    <cfRule type="expression" dxfId="2563" priority="136">
      <formula>AND(AG$9&gt;=14/24,AG$9&lt;20/24)</formula>
    </cfRule>
    <cfRule type="expression" dxfId="2562" priority="137">
      <formula>AND(AG$9&gt;=8/24,AG$9&lt;14/24)</formula>
    </cfRule>
    <cfRule type="expression" dxfId="2561" priority="138">
      <formula>AG$9&lt;8/24</formula>
    </cfRule>
  </conditionalFormatting>
  <conditionalFormatting sqref="AG248">
    <cfRule type="expression" dxfId="2560" priority="168">
      <formula>B$9&gt;=20/24</formula>
    </cfRule>
    <cfRule type="expression" dxfId="2559" priority="169">
      <formula>AND(B$9&gt;=14/24,B$9&lt;20/24)</formula>
    </cfRule>
    <cfRule type="expression" dxfId="2558" priority="170">
      <formula>AND(B$9&gt;=8/24,B$9&lt;14/24)</formula>
    </cfRule>
    <cfRule type="expression" dxfId="2557" priority="171">
      <formula>B$9&lt;8/24</formula>
    </cfRule>
  </conditionalFormatting>
  <conditionalFormatting sqref="AH248:AX248 R11:S16">
    <cfRule type="expression" dxfId="2556" priority="172">
      <formula>Q$9&gt;=20/24</formula>
    </cfRule>
    <cfRule type="expression" dxfId="2555" priority="173">
      <formula>AND(Q$9&gt;=14/24,Q$9&lt;20/24)</formula>
    </cfRule>
    <cfRule type="expression" dxfId="2554" priority="174">
      <formula>AND(Q$9&gt;=8/24,Q$9&lt;14/24)</formula>
    </cfRule>
    <cfRule type="expression" dxfId="2553" priority="175">
      <formula>Q$9&lt;8/24</formula>
    </cfRule>
  </conditionalFormatting>
  <conditionalFormatting sqref="AL4:AL6">
    <cfRule type="iconSet" priority="15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1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3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1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3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3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5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5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1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8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552" priority="181">
      <formula>AJ$9&gt;=20/24</formula>
    </cfRule>
    <cfRule type="expression" dxfId="2551" priority="182">
      <formula>AND(AJ$9&gt;=14/24,AJ$9&lt;20/24)</formula>
    </cfRule>
    <cfRule type="expression" dxfId="2550" priority="183">
      <formula>AND(AJ$9&gt;=8/24,AJ$9&lt;14/24)</formula>
    </cfRule>
    <cfRule type="expression" dxfId="2549" priority="184">
      <formula>AJ$9&lt;8/24</formula>
    </cfRule>
  </conditionalFormatting>
  <conditionalFormatting sqref="AL80:AN80 AL86:AN86">
    <cfRule type="expression" dxfId="2548" priority="122">
      <formula>AL$9&gt;=20/24</formula>
    </cfRule>
    <cfRule type="expression" dxfId="2547" priority="123">
      <formula>AND(AL$9&gt;=14/24,AL$9&lt;20/24)</formula>
    </cfRule>
    <cfRule type="expression" dxfId="2546" priority="124">
      <formula>AND(AL$9&gt;=8/24,AL$9&lt;14/24)</formula>
    </cfRule>
    <cfRule type="expression" dxfId="2545" priority="125">
      <formula>AL$9&lt;8/24</formula>
    </cfRule>
  </conditionalFormatting>
  <conditionalFormatting sqref="AN81:AN84">
    <cfRule type="expression" dxfId="2544" priority="118">
      <formula>AN$9&gt;=20/24</formula>
    </cfRule>
    <cfRule type="expression" dxfId="2543" priority="119">
      <formula>AND(AN$9&gt;=14/24,AN$9&lt;20/24)</formula>
    </cfRule>
    <cfRule type="expression" dxfId="2542" priority="120">
      <formula>AND(AN$9&gt;=8/24,AN$9&lt;14/24)</formula>
    </cfRule>
    <cfRule type="expression" dxfId="2541" priority="121">
      <formula>AN$9&lt;8/24</formula>
    </cfRule>
  </conditionalFormatting>
  <conditionalFormatting sqref="B11:D45 E22:N45 O25:Q26 O28:Q45">
    <cfRule type="expression" dxfId="2540" priority="33">
      <formula>B$9&gt;=20/24</formula>
    </cfRule>
    <cfRule type="expression" dxfId="2539" priority="34">
      <formula>AND(B$9&gt;=14/24,B$9&lt;20/24)</formula>
    </cfRule>
    <cfRule type="expression" dxfId="2538" priority="35">
      <formula>AND(B$9&gt;=8/24,B$9&lt;14/24)</formula>
    </cfRule>
    <cfRule type="expression" dxfId="2537" priority="36">
      <formula>B$9&lt;8/24</formula>
    </cfRule>
  </conditionalFormatting>
  <conditionalFormatting sqref="B11:D46 E22:N46 O25:Q26 O28:Q46">
    <cfRule type="expression" dxfId="2536" priority="28">
      <formula>B11&gt;$AG11</formula>
    </cfRule>
  </conditionalFormatting>
  <conditionalFormatting sqref="B61:D66">
    <cfRule type="expression" dxfId="2535" priority="29">
      <formula>B$9&gt;=20/24</formula>
    </cfRule>
    <cfRule type="expression" dxfId="2534" priority="30">
      <formula>AND(B$9&gt;=14/24,B$9&lt;20/24)</formula>
    </cfRule>
    <cfRule type="expression" dxfId="2533" priority="31">
      <formula>AND(B$9&gt;=8/24,B$9&lt;14/24)</formula>
    </cfRule>
    <cfRule type="expression" dxfId="2532" priority="32">
      <formula>B$9&lt;8/24</formula>
    </cfRule>
  </conditionalFormatting>
  <conditionalFormatting sqref="B46:Q46">
    <cfRule type="expression" dxfId="2531" priority="18">
      <formula>B$9&gt;=20/24</formula>
    </cfRule>
    <cfRule type="expression" dxfId="2530" priority="19">
      <formula>AND(B$9&gt;=14/24,B$9&lt;20/24)</formula>
    </cfRule>
    <cfRule type="expression" dxfId="2529" priority="20">
      <formula>AND(B$9&gt;=8/24,B$9&lt;14/24)</formula>
    </cfRule>
    <cfRule type="expression" dxfId="2528" priority="21">
      <formula>B$9&lt;8/24</formula>
    </cfRule>
  </conditionalFormatting>
  <conditionalFormatting sqref="B47:Q47">
    <cfRule type="expression" dxfId="2527" priority="27">
      <formula>B47&gt;$AG47</formula>
    </cfRule>
  </conditionalFormatting>
  <conditionalFormatting sqref="B47:D49 E47:G48 H47:Q47">
    <cfRule type="expression" dxfId="2526" priority="23">
      <formula>B$9&gt;=20/24</formula>
    </cfRule>
    <cfRule type="expression" dxfId="2525" priority="24">
      <formula>AND(B$9&gt;=14/24,B$9&lt;20/24)</formula>
    </cfRule>
    <cfRule type="expression" dxfId="2524" priority="25">
      <formula>AND(B$9&gt;=8/24,B$9&lt;14/24)</formula>
    </cfRule>
    <cfRule type="expression" dxfId="2523" priority="26">
      <formula>B$9&lt;8/24</formula>
    </cfRule>
  </conditionalFormatting>
  <conditionalFormatting sqref="B48:D53 E48:G48 E51:Q53">
    <cfRule type="expression" dxfId="2522" priority="22">
      <formula>B48&gt;$AG48</formula>
    </cfRule>
  </conditionalFormatting>
  <conditionalFormatting sqref="B51:Q53">
    <cfRule type="expression" dxfId="2521" priority="42">
      <formula>B$9&gt;=20/24</formula>
    </cfRule>
    <cfRule type="expression" dxfId="2520" priority="43">
      <formula>AND(B$9&gt;=14/24,B$9&lt;20/24)</formula>
    </cfRule>
    <cfRule type="expression" dxfId="2519" priority="44">
      <formula>AND(B$9&gt;=8/24,B$9&lt;14/24)</formula>
    </cfRule>
    <cfRule type="expression" dxfId="2518" priority="45">
      <formula>B$9&lt;8/24</formula>
    </cfRule>
  </conditionalFormatting>
  <conditionalFormatting sqref="B73:B91 C73:D75">
    <cfRule type="expression" dxfId="2517" priority="5">
      <formula>B$9&gt;=20/24</formula>
    </cfRule>
    <cfRule type="expression" dxfId="2516" priority="6">
      <formula>AND(B$9&gt;=14/24,B$9&lt;20/24)</formula>
    </cfRule>
    <cfRule type="expression" dxfId="2515" priority="7">
      <formula>AND(B$9&gt;=8/24,B$9&lt;14/24)</formula>
    </cfRule>
    <cfRule type="expression" dxfId="2514" priority="8">
      <formula>B$9&lt;8/24</formula>
    </cfRule>
  </conditionalFormatting>
  <conditionalFormatting sqref="B111:B120">
    <cfRule type="expression" dxfId="2513" priority="14">
      <formula>B$9&gt;=20/24</formula>
    </cfRule>
    <cfRule type="expression" dxfId="2512" priority="15">
      <formula>AND(B$9&gt;=14/24,B$9&lt;20/24)</formula>
    </cfRule>
    <cfRule type="expression" dxfId="2511" priority="16">
      <formula>AND(B$9&gt;=8/24,B$9&lt;14/24)</formula>
    </cfRule>
    <cfRule type="expression" dxfId="2510" priority="17">
      <formula>B$9&lt;8/24</formula>
    </cfRule>
  </conditionalFormatting>
  <conditionalFormatting sqref="B72:D72 B67:D68">
    <cfRule type="expression" dxfId="2509" priority="37">
      <formula>B67&gt;$AG67</formula>
    </cfRule>
  </conditionalFormatting>
  <conditionalFormatting sqref="B93:B109 B72:D72">
    <cfRule type="expression" dxfId="2508" priority="38">
      <formula>B$9&gt;=20/24</formula>
    </cfRule>
    <cfRule type="expression" dxfId="2507" priority="39">
      <formula>AND(B$9&gt;=14/24,B$9&lt;20/24)</formula>
    </cfRule>
    <cfRule type="expression" dxfId="2506" priority="40">
      <formula>AND(B$9&gt;=8/24,B$9&lt;14/24)</formula>
    </cfRule>
    <cfRule type="expression" dxfId="2505" priority="41">
      <formula>B$9&lt;8/24</formula>
    </cfRule>
  </conditionalFormatting>
  <conditionalFormatting sqref="B55:D66">
    <cfRule type="expression" dxfId="2504" priority="9">
      <formula>B55&gt;$AG55</formula>
    </cfRule>
  </conditionalFormatting>
  <conditionalFormatting sqref="B55:D60">
    <cfRule type="expression" dxfId="2503" priority="10">
      <formula>B$9&gt;=20/24</formula>
    </cfRule>
    <cfRule type="expression" dxfId="2502" priority="11">
      <formula>AND(B$9&gt;=14/24,B$9&lt;20/24)</formula>
    </cfRule>
    <cfRule type="expression" dxfId="2501" priority="12">
      <formula>AND(B$9&gt;=8/24,B$9&lt;14/24)</formula>
    </cfRule>
    <cfRule type="expression" dxfId="2500" priority="13">
      <formula>B$9&lt;8/24</formula>
    </cfRule>
  </conditionalFormatting>
  <conditionalFormatting sqref="S11:S16">
    <cfRule type="expression" dxfId="2499" priority="1">
      <formula>S$9&gt;=20/24</formula>
    </cfRule>
    <cfRule type="expression" dxfId="2498" priority="2">
      <formula>AND(S$9&gt;=14/24,S$9&lt;20/24)</formula>
    </cfRule>
    <cfRule type="expression" dxfId="2497" priority="3">
      <formula>AND(S$9&gt;=8/24,S$9&lt;14/24)</formula>
    </cfRule>
    <cfRule type="expression" dxfId="2496" priority="4">
      <formula>S$9&lt;8/24</formula>
    </cfRule>
  </conditionalFormatting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B7020-432C-4BAC-9797-4F371883C77E}">
  <sheetPr codeName="Sheet34"/>
  <dimension ref="A1:CJ281"/>
  <sheetViews>
    <sheetView workbookViewId="0">
      <pane xSplit="1" ySplit="10" topLeftCell="B1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T25" sqref="T25:AF2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" style="1" bestFit="1" customWidth="1"/>
    <col min="12" max="13" width="6.42578125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2080/05/12</v>
      </c>
      <c r="C4" s="201"/>
      <c r="D4" s="201"/>
      <c r="E4" s="202" t="str">
        <f ca="1">"2080/"&amp;"05/"&amp;INT(MID(CELL("filename",G6),FIND("]",CELL("filename",G6))+1,200))</f>
        <v>2080/05/12</v>
      </c>
      <c r="F4" s="202"/>
      <c r="G4" s="202"/>
      <c r="H4" s="202" t="str">
        <f ca="1">TEXT(E4,"dddd")</f>
        <v>Sunday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19</v>
      </c>
      <c r="Y5" s="30">
        <f t="shared" si="0"/>
        <v>33.299999999999997</v>
      </c>
      <c r="Z5" s="30">
        <f t="shared" si="0"/>
        <v>38.1</v>
      </c>
      <c r="AA5" s="30">
        <f t="shared" si="0"/>
        <v>20.5</v>
      </c>
      <c r="AB5" s="30">
        <f t="shared" si="0"/>
        <v>26</v>
      </c>
      <c r="AC5" s="30">
        <f t="shared" si="0"/>
        <v>26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2247MW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Load=2115</v>
      </c>
      <c r="B7" s="35">
        <f t="shared" ref="B7:AF7" si="1">B91</f>
        <v>2141.34</v>
      </c>
      <c r="C7" s="35">
        <f t="shared" si="1"/>
        <v>2141.34</v>
      </c>
      <c r="D7" s="35">
        <f t="shared" si="1"/>
        <v>2125.54</v>
      </c>
      <c r="E7" s="35">
        <f t="shared" si="1"/>
        <v>2127.5400000000004</v>
      </c>
      <c r="F7" s="35">
        <f t="shared" si="1"/>
        <v>2137.1400000000003</v>
      </c>
      <c r="G7" s="35">
        <f t="shared" si="1"/>
        <v>2139.9400000000005</v>
      </c>
      <c r="H7" s="35">
        <f t="shared" si="1"/>
        <v>2114.84</v>
      </c>
      <c r="I7" s="35">
        <f t="shared" si="1"/>
        <v>2169.7400000000002</v>
      </c>
      <c r="J7" s="35">
        <f t="shared" si="1"/>
        <v>2175.94</v>
      </c>
      <c r="K7" s="35">
        <f t="shared" si="1"/>
        <v>2192.8399999999997</v>
      </c>
      <c r="L7" s="35">
        <f t="shared" si="1"/>
        <v>2244.04</v>
      </c>
      <c r="M7" s="35">
        <f t="shared" si="1"/>
        <v>2239.1299999999997</v>
      </c>
      <c r="N7" s="35">
        <f>N91</f>
        <v>2246.9399999999996</v>
      </c>
      <c r="O7" s="35">
        <f t="shared" si="1"/>
        <v>2268.0499999999997</v>
      </c>
      <c r="P7" s="35">
        <f t="shared" si="1"/>
        <v>2283.64</v>
      </c>
      <c r="Q7" s="35">
        <f t="shared" si="1"/>
        <v>2247.7400000000002</v>
      </c>
      <c r="R7" s="35">
        <f t="shared" si="1"/>
        <v>2252.7400000000002</v>
      </c>
      <c r="S7" s="35">
        <f t="shared" si="1"/>
        <v>2249.44</v>
      </c>
      <c r="T7" s="35">
        <f t="shared" si="1"/>
        <v>2260.84</v>
      </c>
      <c r="U7" s="35">
        <f t="shared" si="1"/>
        <v>2221.9399999999996</v>
      </c>
      <c r="V7" s="35">
        <f t="shared" si="1"/>
        <v>2186.2399999999998</v>
      </c>
      <c r="W7" s="35">
        <f t="shared" si="1"/>
        <v>2182.04</v>
      </c>
      <c r="X7" s="35">
        <f t="shared" si="1"/>
        <v>2215.9399999999996</v>
      </c>
      <c r="Y7" s="35">
        <f t="shared" si="1"/>
        <v>2264.14</v>
      </c>
      <c r="Z7" s="35">
        <f t="shared" si="1"/>
        <v>2278.44</v>
      </c>
      <c r="AA7" s="35">
        <f t="shared" si="1"/>
        <v>2283.2399999999998</v>
      </c>
      <c r="AB7" s="35">
        <f t="shared" si="1"/>
        <v>2230.2399999999998</v>
      </c>
      <c r="AC7" s="35">
        <f t="shared" si="1"/>
        <v>2224.7399999999998</v>
      </c>
      <c r="AD7" s="35">
        <f t="shared" si="1"/>
        <v>2224.7399999999998</v>
      </c>
      <c r="AE7" s="35">
        <f t="shared" si="1"/>
        <v>2198.7399999999998</v>
      </c>
      <c r="AF7" s="35">
        <f t="shared" si="1"/>
        <v>2124.64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90.1</v>
      </c>
      <c r="C11" s="45">
        <v>90.1</v>
      </c>
      <c r="D11" s="45">
        <v>90.1</v>
      </c>
      <c r="E11" s="45">
        <v>90.1</v>
      </c>
      <c r="F11" s="45">
        <v>90.1</v>
      </c>
      <c r="G11" s="45">
        <v>90.1</v>
      </c>
      <c r="H11" s="45">
        <v>90.1</v>
      </c>
      <c r="I11" s="45">
        <v>90.1</v>
      </c>
      <c r="J11" s="45">
        <v>90.1</v>
      </c>
      <c r="K11" s="45">
        <v>90.1</v>
      </c>
      <c r="L11" s="45">
        <v>90.1</v>
      </c>
      <c r="M11" s="45">
        <v>90.1</v>
      </c>
      <c r="N11" s="45">
        <v>90.1</v>
      </c>
      <c r="O11" s="45">
        <v>90.1</v>
      </c>
      <c r="P11" s="45">
        <v>90.1</v>
      </c>
      <c r="Q11" s="45">
        <v>90.2</v>
      </c>
      <c r="R11" s="45">
        <v>90.2</v>
      </c>
      <c r="S11" s="45">
        <v>90.2</v>
      </c>
      <c r="T11" s="45">
        <v>90.2</v>
      </c>
      <c r="U11" s="45">
        <v>90.2</v>
      </c>
      <c r="V11" s="45">
        <v>90.2</v>
      </c>
      <c r="W11" s="45">
        <v>90.2</v>
      </c>
      <c r="X11" s="45">
        <v>90.2</v>
      </c>
      <c r="Y11" s="45">
        <v>90.2</v>
      </c>
      <c r="Z11" s="45">
        <v>90.2</v>
      </c>
      <c r="AA11" s="45">
        <v>90.2</v>
      </c>
      <c r="AB11" s="45">
        <v>90.2</v>
      </c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90.1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13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>
        <v>54.3</v>
      </c>
      <c r="G13" s="45">
        <v>54.3</v>
      </c>
      <c r="H13" s="45">
        <v>54.3</v>
      </c>
      <c r="I13" s="45">
        <v>54.3</v>
      </c>
      <c r="J13" s="45">
        <v>54.3</v>
      </c>
      <c r="K13" s="45">
        <v>54.3</v>
      </c>
      <c r="L13" s="45">
        <v>54.3</v>
      </c>
      <c r="M13" s="45">
        <v>54.3</v>
      </c>
      <c r="N13" s="45">
        <v>54.3</v>
      </c>
      <c r="O13" s="45">
        <v>54.3</v>
      </c>
      <c r="P13" s="45">
        <v>54.3</v>
      </c>
      <c r="Q13" s="45">
        <v>54.2</v>
      </c>
      <c r="R13" s="45">
        <v>54.2</v>
      </c>
      <c r="S13" s="45">
        <v>54.2</v>
      </c>
      <c r="T13" s="45">
        <v>54.2</v>
      </c>
      <c r="U13" s="45">
        <v>54.2</v>
      </c>
      <c r="V13" s="45">
        <v>54.2</v>
      </c>
      <c r="W13" s="45">
        <v>54.2</v>
      </c>
      <c r="X13" s="45">
        <v>54.2</v>
      </c>
      <c r="Y13" s="45">
        <v>54.2</v>
      </c>
      <c r="Z13" s="45">
        <v>54.2</v>
      </c>
      <c r="AA13" s="45">
        <v>54.2</v>
      </c>
      <c r="AB13" s="45">
        <v>54.2</v>
      </c>
      <c r="AC13" s="45">
        <v>54.2</v>
      </c>
      <c r="AD13" s="45">
        <v>54.2</v>
      </c>
      <c r="AE13" s="45">
        <v>54.2</v>
      </c>
      <c r="AF13" s="45">
        <v>54.2</v>
      </c>
      <c r="AG13" s="46">
        <v>52.4</v>
      </c>
      <c r="AH13" s="47">
        <f t="shared" si="2"/>
        <v>54.3</v>
      </c>
      <c r="AI13" s="48">
        <f t="shared" si="3"/>
        <v>54.2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50.7</v>
      </c>
      <c r="D14" s="58">
        <v>50.7</v>
      </c>
      <c r="E14" s="58">
        <v>50.7</v>
      </c>
      <c r="F14" s="58">
        <v>50.7</v>
      </c>
      <c r="G14" s="58">
        <v>50.7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50.7</v>
      </c>
      <c r="N14" s="58">
        <v>50.7</v>
      </c>
      <c r="O14" s="58">
        <v>50.7</v>
      </c>
      <c r="P14" s="58">
        <v>50.7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58">
        <v>50.5</v>
      </c>
      <c r="AB14" s="58">
        <v>50.5</v>
      </c>
      <c r="AC14" s="58">
        <v>50.5</v>
      </c>
      <c r="AD14" s="58">
        <v>50.5</v>
      </c>
      <c r="AE14" s="58">
        <v>50.5</v>
      </c>
      <c r="AF14" s="58">
        <v>50.5</v>
      </c>
      <c r="AG14" s="49">
        <v>50</v>
      </c>
      <c r="AH14" s="47">
        <f t="shared" si="2"/>
        <v>50.7</v>
      </c>
      <c r="AI14" s="48">
        <f t="shared" si="3"/>
        <v>50.5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46.3</v>
      </c>
      <c r="C15" s="45">
        <v>46.3</v>
      </c>
      <c r="D15" s="45">
        <v>46.3</v>
      </c>
      <c r="E15" s="45">
        <v>46.3</v>
      </c>
      <c r="F15" s="45">
        <v>46.3</v>
      </c>
      <c r="G15" s="45">
        <v>46.3</v>
      </c>
      <c r="H15" s="45">
        <v>46.3</v>
      </c>
      <c r="I15" s="45">
        <v>46.3</v>
      </c>
      <c r="J15" s="45">
        <v>46.3</v>
      </c>
      <c r="K15" s="45">
        <v>46.3</v>
      </c>
      <c r="L15" s="45">
        <v>46.3</v>
      </c>
      <c r="M15" s="45">
        <v>46.3</v>
      </c>
      <c r="N15" s="45">
        <v>46.3</v>
      </c>
      <c r="O15" s="45">
        <v>46.3</v>
      </c>
      <c r="P15" s="45">
        <v>46.3</v>
      </c>
      <c r="Q15" s="45">
        <v>46.3</v>
      </c>
      <c r="R15" s="45">
        <v>46.3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46.3</v>
      </c>
      <c r="AF15" s="45">
        <v>46.3</v>
      </c>
      <c r="AG15" s="49">
        <v>45</v>
      </c>
      <c r="AH15" s="47">
        <f t="shared" si="2"/>
        <v>46.3</v>
      </c>
      <c r="AI15" s="48">
        <f t="shared" si="3"/>
        <v>46.3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38.5</v>
      </c>
      <c r="V17" s="45">
        <v>38.5</v>
      </c>
      <c r="W17" s="45">
        <v>38.5</v>
      </c>
      <c r="X17" s="45">
        <v>29</v>
      </c>
      <c r="Y17" s="45">
        <v>33</v>
      </c>
      <c r="Z17" s="45">
        <v>33</v>
      </c>
      <c r="AA17" s="45">
        <v>33</v>
      </c>
      <c r="AB17" s="45">
        <v>33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38.5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15.6</v>
      </c>
      <c r="C20" s="45">
        <v>15.6</v>
      </c>
      <c r="D20" s="45">
        <v>10.3</v>
      </c>
      <c r="E20" s="45">
        <v>15</v>
      </c>
      <c r="F20" s="45">
        <v>15</v>
      </c>
      <c r="G20" s="45">
        <v>15</v>
      </c>
      <c r="H20" s="45">
        <v>25.3</v>
      </c>
      <c r="I20" s="45">
        <v>20</v>
      </c>
      <c r="J20" s="45">
        <v>24.1</v>
      </c>
      <c r="K20" s="45">
        <v>30</v>
      </c>
      <c r="L20" s="45">
        <v>30</v>
      </c>
      <c r="M20" s="45">
        <v>30</v>
      </c>
      <c r="N20" s="45">
        <v>30</v>
      </c>
      <c r="O20" s="45">
        <v>30</v>
      </c>
      <c r="P20" s="45">
        <v>30</v>
      </c>
      <c r="Q20" s="45">
        <v>25</v>
      </c>
      <c r="R20" s="45">
        <v>30</v>
      </c>
      <c r="S20" s="45">
        <v>30</v>
      </c>
      <c r="T20" s="45">
        <v>30</v>
      </c>
      <c r="U20" s="45">
        <v>20</v>
      </c>
      <c r="V20" s="45">
        <v>20</v>
      </c>
      <c r="W20" s="45">
        <v>20</v>
      </c>
      <c r="X20" s="45">
        <v>20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30</v>
      </c>
      <c r="AF20" s="45">
        <v>30</v>
      </c>
      <c r="AG20" s="51">
        <v>30</v>
      </c>
      <c r="AH20" s="47">
        <f t="shared" si="2"/>
        <v>30</v>
      </c>
      <c r="AI20" s="48">
        <f t="shared" si="3"/>
        <v>10.3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20.6</v>
      </c>
      <c r="C21" s="45">
        <v>20.6</v>
      </c>
      <c r="D21" s="45">
        <v>20.6</v>
      </c>
      <c r="E21" s="45">
        <v>20.6</v>
      </c>
      <c r="F21" s="45">
        <v>20.6</v>
      </c>
      <c r="G21" s="45">
        <v>20.6</v>
      </c>
      <c r="H21" s="45">
        <v>20.6</v>
      </c>
      <c r="I21" s="45">
        <v>20.6</v>
      </c>
      <c r="J21" s="45">
        <v>20.6</v>
      </c>
      <c r="K21" s="45">
        <v>20.6</v>
      </c>
      <c r="L21" s="45">
        <v>20.6</v>
      </c>
      <c r="M21" s="45">
        <v>33</v>
      </c>
      <c r="N21" s="45">
        <v>33</v>
      </c>
      <c r="O21" s="45">
        <v>33</v>
      </c>
      <c r="P21" s="45">
        <v>33</v>
      </c>
      <c r="Q21" s="45">
        <v>33.200000000000003</v>
      </c>
      <c r="R21" s="45">
        <v>33.200000000000003</v>
      </c>
      <c r="S21" s="45">
        <v>33.200000000000003</v>
      </c>
      <c r="T21" s="45">
        <v>33.200000000000003</v>
      </c>
      <c r="U21" s="45">
        <v>13</v>
      </c>
      <c r="V21" s="45">
        <v>13</v>
      </c>
      <c r="W21" s="45">
        <v>13</v>
      </c>
      <c r="X21" s="45">
        <v>13</v>
      </c>
      <c r="Y21" s="45">
        <v>13</v>
      </c>
      <c r="Z21" s="45">
        <v>13</v>
      </c>
      <c r="AA21" s="45">
        <v>13</v>
      </c>
      <c r="AB21" s="45">
        <v>13</v>
      </c>
      <c r="AC21" s="45">
        <v>13</v>
      </c>
      <c r="AD21" s="45">
        <v>13</v>
      </c>
      <c r="AE21" s="45">
        <v>13</v>
      </c>
      <c r="AF21" s="45">
        <v>10</v>
      </c>
      <c r="AG21" s="49">
        <v>24.2</v>
      </c>
      <c r="AH21" s="47">
        <f t="shared" si="2"/>
        <v>33.200000000000003</v>
      </c>
      <c r="AI21" s="48">
        <f t="shared" si="3"/>
        <v>10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20</v>
      </c>
      <c r="V22" s="45">
        <v>20</v>
      </c>
      <c r="W22" s="45">
        <v>20</v>
      </c>
      <c r="X22" s="45">
        <v>20</v>
      </c>
      <c r="Y22" s="45">
        <v>20</v>
      </c>
      <c r="Z22" s="45">
        <v>20</v>
      </c>
      <c r="AA22" s="45">
        <v>20</v>
      </c>
      <c r="AB22" s="45">
        <v>20</v>
      </c>
      <c r="AC22" s="45">
        <v>20</v>
      </c>
      <c r="AD22" s="45">
        <v>20</v>
      </c>
      <c r="AE22" s="45">
        <v>20</v>
      </c>
      <c r="AF22" s="45">
        <v>20</v>
      </c>
      <c r="AG22" s="49">
        <v>28</v>
      </c>
      <c r="AH22" s="47">
        <f t="shared" si="2"/>
        <v>28.6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13.5</v>
      </c>
      <c r="C23" s="45">
        <v>13.5</v>
      </c>
      <c r="D23" s="45">
        <v>9</v>
      </c>
      <c r="E23" s="45">
        <v>9</v>
      </c>
      <c r="F23" s="45">
        <v>13.5</v>
      </c>
      <c r="G23" s="45">
        <v>13.5</v>
      </c>
      <c r="H23" s="45">
        <v>22</v>
      </c>
      <c r="I23" s="45">
        <v>22</v>
      </c>
      <c r="J23" s="45">
        <v>22</v>
      </c>
      <c r="K23" s="45">
        <v>27</v>
      </c>
      <c r="L23" s="45">
        <v>27</v>
      </c>
      <c r="M23" s="45">
        <v>27</v>
      </c>
      <c r="N23" s="45">
        <v>27</v>
      </c>
      <c r="O23" s="45">
        <v>27</v>
      </c>
      <c r="P23" s="45">
        <v>27</v>
      </c>
      <c r="Q23" s="45">
        <v>27</v>
      </c>
      <c r="R23" s="45">
        <v>27</v>
      </c>
      <c r="S23" s="45">
        <v>27</v>
      </c>
      <c r="T23" s="45">
        <v>27</v>
      </c>
      <c r="U23" s="45">
        <v>20</v>
      </c>
      <c r="V23" s="45">
        <v>20</v>
      </c>
      <c r="W23" s="45">
        <v>20</v>
      </c>
      <c r="X23" s="45">
        <v>20</v>
      </c>
      <c r="Y23" s="45">
        <v>25</v>
      </c>
      <c r="Z23" s="45">
        <v>25</v>
      </c>
      <c r="AA23" s="45">
        <v>25</v>
      </c>
      <c r="AB23" s="45">
        <v>25</v>
      </c>
      <c r="AC23" s="45">
        <v>27</v>
      </c>
      <c r="AD23" s="45">
        <v>27</v>
      </c>
      <c r="AE23" s="45">
        <v>27</v>
      </c>
      <c r="AF23" s="45">
        <v>10</v>
      </c>
      <c r="AG23" s="51">
        <v>30</v>
      </c>
      <c r="AH23" s="47">
        <f t="shared" si="2"/>
        <v>27</v>
      </c>
      <c r="AI23" s="48">
        <f t="shared" si="3"/>
        <v>9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26.3</v>
      </c>
      <c r="C24" s="45">
        <v>26.3</v>
      </c>
      <c r="D24" s="45">
        <v>26.3</v>
      </c>
      <c r="E24" s="45">
        <v>26.3</v>
      </c>
      <c r="F24" s="45">
        <v>26.3</v>
      </c>
      <c r="G24" s="45">
        <v>26.3</v>
      </c>
      <c r="H24" s="45">
        <v>26.3</v>
      </c>
      <c r="I24" s="45">
        <v>26.3</v>
      </c>
      <c r="J24" s="45">
        <v>26.3</v>
      </c>
      <c r="K24" s="45">
        <v>26.3</v>
      </c>
      <c r="L24" s="45">
        <v>26.3</v>
      </c>
      <c r="M24" s="45">
        <v>26.3</v>
      </c>
      <c r="N24" s="45">
        <v>26.3</v>
      </c>
      <c r="O24" s="45">
        <v>26.3</v>
      </c>
      <c r="P24" s="45">
        <v>26.3</v>
      </c>
      <c r="Q24" s="45">
        <v>24.6</v>
      </c>
      <c r="R24" s="45">
        <v>24.6</v>
      </c>
      <c r="S24" s="45">
        <v>24.6</v>
      </c>
      <c r="T24" s="45">
        <v>24.6</v>
      </c>
      <c r="U24" s="45">
        <v>25.2</v>
      </c>
      <c r="V24" s="45">
        <v>25.2</v>
      </c>
      <c r="W24" s="45">
        <v>25.2</v>
      </c>
      <c r="X24" s="45">
        <v>25.2</v>
      </c>
      <c r="Y24" s="45">
        <v>25.2</v>
      </c>
      <c r="Z24" s="45">
        <v>25.2</v>
      </c>
      <c r="AA24" s="45">
        <v>25.2</v>
      </c>
      <c r="AB24" s="45">
        <v>25.2</v>
      </c>
      <c r="AC24" s="45">
        <v>25.2</v>
      </c>
      <c r="AD24" s="45">
        <v>25.2</v>
      </c>
      <c r="AE24" s="45">
        <v>25.2</v>
      </c>
      <c r="AF24" s="45">
        <v>25.2</v>
      </c>
      <c r="AG24" s="49">
        <v>25</v>
      </c>
      <c r="AH24" s="47">
        <f t="shared" si="2"/>
        <v>26.3</v>
      </c>
      <c r="AI24" s="48">
        <f t="shared" si="3"/>
        <v>24.6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25</v>
      </c>
      <c r="C25" s="45">
        <v>25</v>
      </c>
      <c r="D25" s="45">
        <v>25</v>
      </c>
      <c r="E25" s="45">
        <v>25</v>
      </c>
      <c r="F25" s="45">
        <v>25</v>
      </c>
      <c r="G25" s="45">
        <v>25</v>
      </c>
      <c r="H25" s="45">
        <v>25</v>
      </c>
      <c r="I25" s="45">
        <v>25</v>
      </c>
      <c r="J25" s="45">
        <v>25</v>
      </c>
      <c r="K25" s="45">
        <v>25</v>
      </c>
      <c r="L25" s="45">
        <v>25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25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12.5</v>
      </c>
      <c r="C27" s="45">
        <v>12.5</v>
      </c>
      <c r="D27" s="45">
        <v>8.5</v>
      </c>
      <c r="E27" s="45">
        <v>8.5</v>
      </c>
      <c r="F27" s="45">
        <v>12.5</v>
      </c>
      <c r="G27" s="45">
        <v>12.5</v>
      </c>
      <c r="H27" s="45">
        <v>25</v>
      </c>
      <c r="I27" s="45">
        <v>20</v>
      </c>
      <c r="J27" s="45">
        <v>20</v>
      </c>
      <c r="K27" s="45">
        <v>25</v>
      </c>
      <c r="L27" s="45">
        <v>25</v>
      </c>
      <c r="M27" s="45">
        <v>25</v>
      </c>
      <c r="N27" s="45">
        <v>25</v>
      </c>
      <c r="O27" s="45">
        <v>25</v>
      </c>
      <c r="P27" s="45">
        <v>25</v>
      </c>
      <c r="Q27" s="45">
        <v>25</v>
      </c>
      <c r="R27" s="45">
        <v>25</v>
      </c>
      <c r="S27" s="45">
        <v>25</v>
      </c>
      <c r="T27" s="45">
        <v>25</v>
      </c>
      <c r="U27" s="45">
        <v>25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25</v>
      </c>
      <c r="AF27" s="45">
        <v>25</v>
      </c>
      <c r="AG27" s="49">
        <v>25</v>
      </c>
      <c r="AH27" s="47">
        <f t="shared" si="2"/>
        <v>25</v>
      </c>
      <c r="AI27" s="48">
        <f t="shared" si="3"/>
        <v>8.5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24.9</v>
      </c>
      <c r="N28" s="45">
        <v>24.9</v>
      </c>
      <c r="O28" s="45">
        <v>24.9</v>
      </c>
      <c r="P28" s="45">
        <v>24.9</v>
      </c>
      <c r="Q28" s="45">
        <v>24.8</v>
      </c>
      <c r="R28" s="45">
        <v>24.8</v>
      </c>
      <c r="S28" s="45">
        <v>24.8</v>
      </c>
      <c r="T28" s="45">
        <v>24.8</v>
      </c>
      <c r="U28" s="45">
        <v>24.8</v>
      </c>
      <c r="V28" s="45">
        <v>24.8</v>
      </c>
      <c r="W28" s="45">
        <v>24.8</v>
      </c>
      <c r="X28" s="45">
        <v>24.8</v>
      </c>
      <c r="Y28" s="45">
        <v>24.8</v>
      </c>
      <c r="Z28" s="45">
        <v>24.8</v>
      </c>
      <c r="AA28" s="45">
        <v>24.8</v>
      </c>
      <c r="AB28" s="45">
        <v>24.8</v>
      </c>
      <c r="AC28" s="45">
        <v>24.8</v>
      </c>
      <c r="AD28" s="45">
        <v>24.8</v>
      </c>
      <c r="AE28" s="45">
        <v>24.8</v>
      </c>
      <c r="AF28" s="45">
        <v>24.8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10</v>
      </c>
      <c r="J33" s="45">
        <v>10</v>
      </c>
      <c r="K33" s="45">
        <v>10</v>
      </c>
      <c r="L33" s="45">
        <v>10</v>
      </c>
      <c r="M33" s="45">
        <v>5</v>
      </c>
      <c r="N33" s="45">
        <v>5</v>
      </c>
      <c r="O33" s="45">
        <v>5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5</v>
      </c>
      <c r="Y33" s="45">
        <v>10</v>
      </c>
      <c r="Z33" s="45">
        <v>10</v>
      </c>
      <c r="AA33" s="45">
        <v>10</v>
      </c>
      <c r="AB33" s="45">
        <v>10</v>
      </c>
      <c r="AC33" s="45">
        <v>4</v>
      </c>
      <c r="AD33" s="45">
        <v>4</v>
      </c>
      <c r="AE33" s="45">
        <v>4</v>
      </c>
      <c r="AF33" s="45">
        <v>4</v>
      </c>
      <c r="AG33" s="49">
        <v>20</v>
      </c>
      <c r="AH33" s="47">
        <f t="shared" si="2"/>
        <v>10</v>
      </c>
      <c r="AI33" s="48">
        <f t="shared" si="3"/>
        <v>4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9</v>
      </c>
      <c r="Z34" s="45">
        <v>9</v>
      </c>
      <c r="AA34" s="45">
        <v>9</v>
      </c>
      <c r="AB34" s="45">
        <v>9</v>
      </c>
      <c r="AC34" s="45">
        <v>4</v>
      </c>
      <c r="AD34" s="45">
        <v>4</v>
      </c>
      <c r="AE34" s="45">
        <v>4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>
        <v>6.2</v>
      </c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6.2</v>
      </c>
      <c r="N37" s="45">
        <v>6.2</v>
      </c>
      <c r="O37" s="45">
        <v>6.2</v>
      </c>
      <c r="P37" s="45">
        <v>6.2</v>
      </c>
      <c r="Q37" s="45">
        <v>6.2</v>
      </c>
      <c r="R37" s="45">
        <v>6.2</v>
      </c>
      <c r="S37" s="45">
        <v>6.2</v>
      </c>
      <c r="T37" s="45">
        <v>6.2</v>
      </c>
      <c r="U37" s="45">
        <v>6.2</v>
      </c>
      <c r="V37" s="45">
        <v>6.2</v>
      </c>
      <c r="W37" s="45">
        <v>6.2</v>
      </c>
      <c r="X37" s="45">
        <v>6.2</v>
      </c>
      <c r="Y37" s="45">
        <v>6.2</v>
      </c>
      <c r="Z37" s="45">
        <v>6.2</v>
      </c>
      <c r="AA37" s="45">
        <v>6.2</v>
      </c>
      <c r="AB37" s="45">
        <v>6.2</v>
      </c>
      <c r="AC37" s="45">
        <v>6.2</v>
      </c>
      <c r="AD37" s="45">
        <v>6.2</v>
      </c>
      <c r="AE37" s="45">
        <v>6.2</v>
      </c>
      <c r="AF37" s="45">
        <v>6.2</v>
      </c>
      <c r="AG37" s="49">
        <v>13.6</v>
      </c>
      <c r="AH37" s="47">
        <f t="shared" si="2"/>
        <v>6.2</v>
      </c>
      <c r="AI37" s="48">
        <f t="shared" si="3"/>
        <v>6.2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>
        <v>13</v>
      </c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13</v>
      </c>
      <c r="Z38" s="45">
        <v>13</v>
      </c>
      <c r="AA38" s="45">
        <v>13</v>
      </c>
      <c r="AB38" s="45">
        <v>13</v>
      </c>
      <c r="AC38" s="45">
        <v>13</v>
      </c>
      <c r="AD38" s="45">
        <v>13</v>
      </c>
      <c r="AE38" s="45">
        <v>13</v>
      </c>
      <c r="AF38" s="45">
        <v>13</v>
      </c>
      <c r="AG38" s="49">
        <v>13</v>
      </c>
      <c r="AH38" s="47">
        <f t="shared" si="2"/>
        <v>13</v>
      </c>
      <c r="AI38" s="48">
        <f t="shared" si="3"/>
        <v>13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6</v>
      </c>
      <c r="D39" s="45">
        <v>4</v>
      </c>
      <c r="E39" s="45">
        <v>4</v>
      </c>
      <c r="F39" s="45">
        <v>6</v>
      </c>
      <c r="G39" s="45">
        <v>6</v>
      </c>
      <c r="H39" s="45">
        <v>10</v>
      </c>
      <c r="I39" s="45">
        <v>10</v>
      </c>
      <c r="J39" s="45">
        <v>10</v>
      </c>
      <c r="K39" s="45">
        <v>12</v>
      </c>
      <c r="L39" s="45">
        <v>12</v>
      </c>
      <c r="M39" s="45">
        <v>12</v>
      </c>
      <c r="N39" s="45">
        <v>12</v>
      </c>
      <c r="O39" s="45">
        <v>12</v>
      </c>
      <c r="P39" s="45">
        <v>12</v>
      </c>
      <c r="Q39" s="45">
        <v>12</v>
      </c>
      <c r="R39" s="45">
        <v>12</v>
      </c>
      <c r="S39" s="45">
        <v>12</v>
      </c>
      <c r="T39" s="45">
        <v>12</v>
      </c>
      <c r="U39" s="45">
        <v>10</v>
      </c>
      <c r="V39" s="45">
        <v>10</v>
      </c>
      <c r="W39" s="45">
        <v>10</v>
      </c>
      <c r="X39" s="45">
        <v>10</v>
      </c>
      <c r="Y39" s="45">
        <v>10</v>
      </c>
      <c r="Z39" s="45">
        <v>10</v>
      </c>
      <c r="AA39" s="45">
        <v>10</v>
      </c>
      <c r="AB39" s="45">
        <v>10</v>
      </c>
      <c r="AC39" s="45">
        <v>12</v>
      </c>
      <c r="AD39" s="45">
        <v>12</v>
      </c>
      <c r="AE39" s="45">
        <v>12</v>
      </c>
      <c r="AF39" s="45">
        <v>12</v>
      </c>
      <c r="AG39" s="49">
        <v>12</v>
      </c>
      <c r="AH39" s="47">
        <f t="shared" si="2"/>
        <v>12</v>
      </c>
      <c r="AI39" s="48">
        <f t="shared" si="3"/>
        <v>4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9.3000000000000007</v>
      </c>
      <c r="C40" s="45">
        <v>9.3000000000000007</v>
      </c>
      <c r="D40" s="45">
        <v>9.3000000000000007</v>
      </c>
      <c r="E40" s="45">
        <v>9.3000000000000007</v>
      </c>
      <c r="F40" s="45">
        <v>9.3000000000000007</v>
      </c>
      <c r="G40" s="45">
        <v>9.3000000000000007</v>
      </c>
      <c r="H40" s="45">
        <v>9.3000000000000007</v>
      </c>
      <c r="I40" s="45">
        <v>9.3000000000000007</v>
      </c>
      <c r="J40" s="45">
        <v>9.3000000000000007</v>
      </c>
      <c r="K40" s="45">
        <v>9.3000000000000007</v>
      </c>
      <c r="L40" s="45">
        <v>9.3000000000000007</v>
      </c>
      <c r="M40" s="45">
        <v>9.3000000000000007</v>
      </c>
      <c r="N40" s="45">
        <v>9.3000000000000007</v>
      </c>
      <c r="O40" s="45">
        <v>9.3000000000000007</v>
      </c>
      <c r="P40" s="45">
        <v>9.3000000000000007</v>
      </c>
      <c r="Q40" s="45">
        <v>9.3000000000000007</v>
      </c>
      <c r="R40" s="45">
        <v>9.3000000000000007</v>
      </c>
      <c r="S40" s="45">
        <v>9.3000000000000007</v>
      </c>
      <c r="T40" s="45">
        <v>9.3000000000000007</v>
      </c>
      <c r="U40" s="45">
        <v>9.3000000000000007</v>
      </c>
      <c r="V40" s="45">
        <v>9.3000000000000007</v>
      </c>
      <c r="W40" s="45">
        <v>9.3000000000000007</v>
      </c>
      <c r="X40" s="45">
        <v>9.3000000000000007</v>
      </c>
      <c r="Y40" s="45">
        <v>9.3000000000000007</v>
      </c>
      <c r="Z40" s="45">
        <v>9.3000000000000007</v>
      </c>
      <c r="AA40" s="45">
        <v>9.3000000000000007</v>
      </c>
      <c r="AB40" s="45">
        <v>9.3000000000000007</v>
      </c>
      <c r="AC40" s="45">
        <v>9.3000000000000007</v>
      </c>
      <c r="AD40" s="45">
        <v>9.3000000000000007</v>
      </c>
      <c r="AE40" s="45">
        <v>9.3000000000000007</v>
      </c>
      <c r="AF40" s="45">
        <v>9.3000000000000007</v>
      </c>
      <c r="AG40" s="49">
        <v>12</v>
      </c>
      <c r="AH40" s="47">
        <f t="shared" si="2"/>
        <v>9.3000000000000007</v>
      </c>
      <c r="AI40" s="48">
        <f t="shared" si="3"/>
        <v>9.3000000000000007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5</v>
      </c>
      <c r="C41" s="45">
        <v>5</v>
      </c>
      <c r="D41" s="45">
        <v>5</v>
      </c>
      <c r="E41" s="45">
        <v>5</v>
      </c>
      <c r="F41" s="45">
        <v>5</v>
      </c>
      <c r="G41" s="45">
        <v>5</v>
      </c>
      <c r="H41" s="45">
        <v>5</v>
      </c>
      <c r="I41" s="45">
        <v>5</v>
      </c>
      <c r="J41" s="45">
        <v>5</v>
      </c>
      <c r="K41" s="45">
        <v>5</v>
      </c>
      <c r="L41" s="45">
        <v>5</v>
      </c>
      <c r="M41" s="45">
        <v>5</v>
      </c>
      <c r="N41" s="45">
        <v>5</v>
      </c>
      <c r="O41" s="45">
        <v>5</v>
      </c>
      <c r="P41" s="45">
        <v>5</v>
      </c>
      <c r="Q41" s="45">
        <v>5</v>
      </c>
      <c r="R41" s="45">
        <v>5</v>
      </c>
      <c r="S41" s="45">
        <v>5</v>
      </c>
      <c r="T41" s="45">
        <v>5</v>
      </c>
      <c r="U41" s="45">
        <v>5</v>
      </c>
      <c r="V41" s="45">
        <v>5</v>
      </c>
      <c r="W41" s="45">
        <v>5</v>
      </c>
      <c r="X41" s="45">
        <v>5</v>
      </c>
      <c r="Y41" s="45">
        <v>5</v>
      </c>
      <c r="Z41" s="45">
        <v>5</v>
      </c>
      <c r="AA41" s="45">
        <v>5</v>
      </c>
      <c r="AB41" s="45">
        <v>5</v>
      </c>
      <c r="AC41" s="45">
        <v>5</v>
      </c>
      <c r="AD41" s="45">
        <v>5</v>
      </c>
      <c r="AE41" s="45">
        <v>5</v>
      </c>
      <c r="AF41" s="45">
        <v>5</v>
      </c>
      <c r="AG41" s="49">
        <v>12</v>
      </c>
      <c r="AH41" s="47">
        <f t="shared" si="2"/>
        <v>5</v>
      </c>
      <c r="AI41" s="48">
        <f t="shared" si="3"/>
        <v>5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4</v>
      </c>
      <c r="Q45" s="45">
        <v>4</v>
      </c>
      <c r="R45" s="45">
        <v>4</v>
      </c>
      <c r="S45" s="45">
        <v>4</v>
      </c>
      <c r="T45" s="45">
        <v>4</v>
      </c>
      <c r="U45" s="45">
        <v>4</v>
      </c>
      <c r="V45" s="45">
        <v>4</v>
      </c>
      <c r="W45" s="45">
        <v>4</v>
      </c>
      <c r="X45" s="45">
        <v>4</v>
      </c>
      <c r="Y45" s="45">
        <v>4</v>
      </c>
      <c r="Z45" s="45">
        <v>4</v>
      </c>
      <c r="AA45" s="45">
        <v>4</v>
      </c>
      <c r="AB45" s="45">
        <v>4</v>
      </c>
      <c r="AC45" s="45">
        <v>4</v>
      </c>
      <c r="AD45" s="45">
        <v>4</v>
      </c>
      <c r="AE45" s="45">
        <v>4</v>
      </c>
      <c r="AF45" s="45">
        <v>4</v>
      </c>
      <c r="AG45" s="54">
        <v>10</v>
      </c>
      <c r="AH45" s="47">
        <f t="shared" si="2"/>
        <v>9</v>
      </c>
      <c r="AI45" s="48">
        <f t="shared" si="3"/>
        <v>4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128.4</v>
      </c>
      <c r="C49" s="56">
        <v>128.30000000000001</v>
      </c>
      <c r="D49" s="56">
        <v>128.4</v>
      </c>
      <c r="E49" s="56">
        <v>128.4</v>
      </c>
      <c r="F49" s="56">
        <v>128.4</v>
      </c>
      <c r="G49" s="56">
        <f>35.5+91.4</f>
        <v>126.9</v>
      </c>
      <c r="H49" s="56">
        <f>35.5+91.4</f>
        <v>126.9</v>
      </c>
      <c r="I49" s="56">
        <f>35.5+91.4</f>
        <v>126.9</v>
      </c>
      <c r="J49" s="56">
        <f>35.1+90.1</f>
        <v>125.19999999999999</v>
      </c>
      <c r="K49" s="56">
        <f>35.1+90.1</f>
        <v>125.19999999999999</v>
      </c>
      <c r="L49" s="58">
        <v>98.8</v>
      </c>
      <c r="M49" s="58">
        <v>98.8</v>
      </c>
      <c r="N49" s="58">
        <v>98.8</v>
      </c>
      <c r="O49" s="58">
        <v>98.8</v>
      </c>
      <c r="P49" s="58">
        <v>98.8</v>
      </c>
      <c r="Q49" s="58">
        <f>31.6+75.9</f>
        <v>107.5</v>
      </c>
      <c r="R49" s="58">
        <f>31.6+75.9</f>
        <v>107.5</v>
      </c>
      <c r="S49" s="58">
        <f>31.6+75.9</f>
        <v>107.5</v>
      </c>
      <c r="T49" s="58">
        <f>31.6+75.9</f>
        <v>107.5</v>
      </c>
      <c r="U49" s="56">
        <v>119.6</v>
      </c>
      <c r="V49" s="56">
        <v>119.6</v>
      </c>
      <c r="W49" s="56">
        <v>119.6</v>
      </c>
      <c r="X49" s="56">
        <v>119.6</v>
      </c>
      <c r="Y49" s="56">
        <v>119.6</v>
      </c>
      <c r="Z49" s="56">
        <v>119.6</v>
      </c>
      <c r="AA49" s="56">
        <v>119.6</v>
      </c>
      <c r="AB49" s="56">
        <f>33.3+87.4</f>
        <v>120.7</v>
      </c>
      <c r="AC49" s="56">
        <f>33.3+87.4</f>
        <v>120.7</v>
      </c>
      <c r="AD49" s="56">
        <f>33.3+87.4</f>
        <v>120.7</v>
      </c>
      <c r="AE49" s="56">
        <f>33.3+87.4</f>
        <v>120.7</v>
      </c>
      <c r="AF49" s="56">
        <f>33.3+87.4</f>
        <v>120.7</v>
      </c>
      <c r="AG49" s="54">
        <v>240</v>
      </c>
      <c r="AH49" s="47">
        <f t="shared" si="2"/>
        <v>128.4</v>
      </c>
      <c r="AI49" s="48">
        <f t="shared" si="3"/>
        <v>98.8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1167.9000000000001</v>
      </c>
      <c r="C50" s="60">
        <f t="shared" si="4"/>
        <v>1167.9000000000001</v>
      </c>
      <c r="D50" s="60">
        <f t="shared" si="4"/>
        <v>1152.0999999999999</v>
      </c>
      <c r="E50" s="60">
        <f t="shared" si="4"/>
        <v>1156.8000000000002</v>
      </c>
      <c r="F50" s="60">
        <f t="shared" si="4"/>
        <v>1167.3000000000002</v>
      </c>
      <c r="G50" s="60">
        <f t="shared" si="4"/>
        <v>1167.3000000000002</v>
      </c>
      <c r="H50" s="60">
        <f t="shared" si="4"/>
        <v>1202.5999999999999</v>
      </c>
      <c r="I50" s="60">
        <f t="shared" si="4"/>
        <v>1197.3000000000002</v>
      </c>
      <c r="J50" s="60">
        <f t="shared" si="4"/>
        <v>1201.4000000000001</v>
      </c>
      <c r="K50" s="60">
        <f t="shared" si="4"/>
        <v>1219.3</v>
      </c>
      <c r="L50" s="60">
        <f t="shared" si="4"/>
        <v>1219.3</v>
      </c>
      <c r="M50" s="60">
        <f t="shared" si="4"/>
        <v>1205.6999999999998</v>
      </c>
      <c r="N50" s="60">
        <f t="shared" si="4"/>
        <v>1205.6999999999998</v>
      </c>
      <c r="O50" s="60">
        <f t="shared" si="4"/>
        <v>1205.6999999999998</v>
      </c>
      <c r="P50" s="60">
        <f t="shared" si="4"/>
        <v>1200.6999999999998</v>
      </c>
      <c r="Q50" s="60">
        <f>SUM(Q11:Q48)</f>
        <v>1193.9000000000001</v>
      </c>
      <c r="R50" s="60">
        <f t="shared" si="4"/>
        <v>1198.9000000000001</v>
      </c>
      <c r="S50" s="60">
        <f t="shared" ref="S50:AA50" si="5">SUM(S11:S48)</f>
        <v>1198.9000000000001</v>
      </c>
      <c r="T50" s="60">
        <f t="shared" si="5"/>
        <v>1198.9000000000001</v>
      </c>
      <c r="U50" s="60">
        <f t="shared" si="5"/>
        <v>1162.1999999999998</v>
      </c>
      <c r="V50" s="60">
        <f t="shared" si="5"/>
        <v>1162.1999999999998</v>
      </c>
      <c r="W50" s="60">
        <f t="shared" si="5"/>
        <v>1162.1999999999998</v>
      </c>
      <c r="X50" s="60">
        <f t="shared" si="5"/>
        <v>1152.6999999999998</v>
      </c>
      <c r="Y50" s="60">
        <f t="shared" si="5"/>
        <v>1181.6999999999998</v>
      </c>
      <c r="Z50" s="60">
        <f t="shared" si="5"/>
        <v>1181.6999999999998</v>
      </c>
      <c r="AA50" s="60">
        <f t="shared" si="5"/>
        <v>1181.6999999999998</v>
      </c>
      <c r="AB50" s="60">
        <f t="shared" si="4"/>
        <v>1181.6999999999998</v>
      </c>
      <c r="AC50" s="60">
        <f t="shared" si="4"/>
        <v>1170.6999999999998</v>
      </c>
      <c r="AD50" s="60">
        <f t="shared" si="4"/>
        <v>1170.6999999999998</v>
      </c>
      <c r="AE50" s="60">
        <f t="shared" si="4"/>
        <v>1170.6999999999998</v>
      </c>
      <c r="AF50" s="60">
        <f t="shared" si="4"/>
        <v>1146.6999999999998</v>
      </c>
      <c r="AG50" s="61">
        <f>SUM(AG13:AG48)</f>
        <v>922.14</v>
      </c>
      <c r="AH50" s="47">
        <f t="shared" si="2"/>
        <v>1219.3</v>
      </c>
      <c r="AI50" s="48">
        <f t="shared" si="3"/>
        <v>1146.6999999999998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50</v>
      </c>
      <c r="V52" s="64">
        <v>50</v>
      </c>
      <c r="W52" s="64">
        <v>50</v>
      </c>
      <c r="X52" s="64">
        <v>50</v>
      </c>
      <c r="Y52" s="64">
        <v>50</v>
      </c>
      <c r="Z52" s="64">
        <v>50</v>
      </c>
      <c r="AA52" s="64">
        <v>50</v>
      </c>
      <c r="AB52" s="64">
        <v>61</v>
      </c>
      <c r="AC52" s="64">
        <v>61</v>
      </c>
      <c r="AD52" s="64">
        <v>61</v>
      </c>
      <c r="AE52" s="64">
        <v>61</v>
      </c>
      <c r="AF52" s="64">
        <v>61</v>
      </c>
      <c r="AG52" s="54">
        <v>60</v>
      </c>
      <c r="AH52" s="47">
        <f t="shared" si="2"/>
        <v>61</v>
      </c>
      <c r="AI52" s="48">
        <f t="shared" si="3"/>
        <v>50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0</v>
      </c>
      <c r="N53" s="66">
        <v>0</v>
      </c>
      <c r="O53" s="66">
        <v>18</v>
      </c>
      <c r="P53" s="66">
        <v>18</v>
      </c>
      <c r="Q53" s="66">
        <v>21.3</v>
      </c>
      <c r="R53" s="66">
        <v>21.3</v>
      </c>
      <c r="S53" s="66">
        <v>21.3</v>
      </c>
      <c r="T53" s="66">
        <v>21.3</v>
      </c>
      <c r="U53" s="66">
        <v>21.3</v>
      </c>
      <c r="V53" s="66">
        <v>21.3</v>
      </c>
      <c r="W53" s="66">
        <v>21.3</v>
      </c>
      <c r="X53" s="66">
        <v>21.3</v>
      </c>
      <c r="Y53" s="66">
        <v>22.4</v>
      </c>
      <c r="Z53" s="66">
        <v>22.4</v>
      </c>
      <c r="AA53" s="66">
        <v>22.4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0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538</v>
      </c>
      <c r="C54" s="60">
        <f t="shared" si="6"/>
        <v>538</v>
      </c>
      <c r="D54" s="60">
        <f t="shared" si="6"/>
        <v>538</v>
      </c>
      <c r="E54" s="60">
        <f t="shared" si="6"/>
        <v>538.4</v>
      </c>
      <c r="F54" s="60">
        <f t="shared" si="6"/>
        <v>538.4</v>
      </c>
      <c r="G54" s="60">
        <f t="shared" si="6"/>
        <v>538.4</v>
      </c>
      <c r="H54" s="60">
        <f t="shared" si="6"/>
        <v>538.4</v>
      </c>
      <c r="I54" s="60">
        <f t="shared" si="6"/>
        <v>538.4</v>
      </c>
      <c r="J54" s="60">
        <f t="shared" si="6"/>
        <v>538.4</v>
      </c>
      <c r="K54" s="60">
        <f t="shared" si="6"/>
        <v>538.4</v>
      </c>
      <c r="L54" s="60">
        <f t="shared" si="6"/>
        <v>538.4</v>
      </c>
      <c r="M54" s="60">
        <f t="shared" si="6"/>
        <v>516</v>
      </c>
      <c r="N54" s="60">
        <f t="shared" si="6"/>
        <v>516</v>
      </c>
      <c r="O54" s="60">
        <f t="shared" si="6"/>
        <v>534</v>
      </c>
      <c r="P54" s="60">
        <f t="shared" si="6"/>
        <v>534</v>
      </c>
      <c r="Q54" s="60">
        <f>SUM(Q51:Q53)</f>
        <v>537.29999999999995</v>
      </c>
      <c r="R54" s="60">
        <f t="shared" si="6"/>
        <v>537.29999999999995</v>
      </c>
      <c r="S54" s="60">
        <f t="shared" ref="S54:AA54" si="7">SUM(S51:S53)</f>
        <v>537.29999999999995</v>
      </c>
      <c r="T54" s="60">
        <f t="shared" si="7"/>
        <v>537.29999999999995</v>
      </c>
      <c r="U54" s="60">
        <f t="shared" si="7"/>
        <v>527.29999999999995</v>
      </c>
      <c r="V54" s="60">
        <f t="shared" si="7"/>
        <v>527.29999999999995</v>
      </c>
      <c r="W54" s="60">
        <f t="shared" si="7"/>
        <v>527.29999999999995</v>
      </c>
      <c r="X54" s="60">
        <f t="shared" si="7"/>
        <v>527.29999999999995</v>
      </c>
      <c r="Y54" s="60">
        <f t="shared" si="7"/>
        <v>528.4</v>
      </c>
      <c r="Z54" s="60">
        <f t="shared" si="7"/>
        <v>528.4</v>
      </c>
      <c r="AA54" s="60">
        <f t="shared" si="7"/>
        <v>528.4</v>
      </c>
      <c r="AB54" s="60">
        <f t="shared" si="6"/>
        <v>539.5</v>
      </c>
      <c r="AC54" s="60">
        <f t="shared" si="6"/>
        <v>539.5</v>
      </c>
      <c r="AD54" s="60">
        <f t="shared" si="6"/>
        <v>539.5</v>
      </c>
      <c r="AE54" s="60">
        <f t="shared" si="6"/>
        <v>539.5</v>
      </c>
      <c r="AF54" s="60">
        <f t="shared" si="6"/>
        <v>539.5</v>
      </c>
      <c r="AG54" s="61">
        <f t="shared" si="6"/>
        <v>538.1</v>
      </c>
      <c r="AH54" s="47">
        <f t="shared" si="2"/>
        <v>539.5</v>
      </c>
      <c r="AI54" s="48">
        <f t="shared" si="3"/>
        <v>516</v>
      </c>
      <c r="AK54" s="50"/>
    </row>
    <row r="55" spans="1:41" x14ac:dyDescent="0.25">
      <c r="A55" s="44" t="s">
        <v>63</v>
      </c>
      <c r="B55" s="45">
        <v>145</v>
      </c>
      <c r="C55" s="45">
        <v>145</v>
      </c>
      <c r="D55" s="45">
        <v>145</v>
      </c>
      <c r="E55" s="45">
        <v>145.80000000000001</v>
      </c>
      <c r="F55" s="45">
        <v>145.4</v>
      </c>
      <c r="G55" s="45">
        <v>145.5</v>
      </c>
      <c r="H55" s="45">
        <v>145.5</v>
      </c>
      <c r="I55" s="45">
        <v>145.5</v>
      </c>
      <c r="J55" s="45">
        <v>145.9</v>
      </c>
      <c r="K55" s="45">
        <v>146</v>
      </c>
      <c r="L55" s="45">
        <v>146</v>
      </c>
      <c r="M55" s="45">
        <v>146</v>
      </c>
      <c r="N55" s="45">
        <v>146</v>
      </c>
      <c r="O55" s="45">
        <v>146</v>
      </c>
      <c r="P55" s="45">
        <v>145.80000000000001</v>
      </c>
      <c r="Q55" s="45">
        <v>145.6</v>
      </c>
      <c r="R55" s="45">
        <v>145.6</v>
      </c>
      <c r="S55" s="45">
        <v>145.6</v>
      </c>
      <c r="T55" s="45">
        <v>145.6</v>
      </c>
      <c r="U55" s="45">
        <v>146</v>
      </c>
      <c r="V55" s="45">
        <v>146</v>
      </c>
      <c r="W55" s="45">
        <v>146</v>
      </c>
      <c r="X55" s="45">
        <v>146</v>
      </c>
      <c r="Y55" s="45">
        <v>146</v>
      </c>
      <c r="Z55" s="45">
        <v>146</v>
      </c>
      <c r="AA55" s="45">
        <v>146</v>
      </c>
      <c r="AB55" s="45">
        <v>146.5</v>
      </c>
      <c r="AC55" s="45">
        <v>146.5</v>
      </c>
      <c r="AD55" s="45">
        <v>146.5</v>
      </c>
      <c r="AE55" s="45">
        <v>146.5</v>
      </c>
      <c r="AF55" s="45">
        <v>146.5</v>
      </c>
      <c r="AG55" s="51">
        <v>144</v>
      </c>
      <c r="AH55" s="47">
        <f t="shared" si="2"/>
        <v>146.5</v>
      </c>
      <c r="AI55" s="48">
        <f t="shared" si="3"/>
        <v>145</v>
      </c>
      <c r="AK55" s="50"/>
    </row>
    <row r="56" spans="1:41" x14ac:dyDescent="0.25">
      <c r="A56" s="53" t="s">
        <v>64</v>
      </c>
      <c r="B56" s="64">
        <v>71</v>
      </c>
      <c r="C56" s="64">
        <v>71</v>
      </c>
      <c r="D56" s="64">
        <v>71</v>
      </c>
      <c r="E56" s="64">
        <v>67.3</v>
      </c>
      <c r="F56" s="64">
        <v>67</v>
      </c>
      <c r="G56" s="64">
        <v>69.400000000000006</v>
      </c>
      <c r="H56" s="64">
        <v>69.400000000000006</v>
      </c>
      <c r="I56" s="64">
        <v>69.400000000000006</v>
      </c>
      <c r="J56" s="64">
        <v>70.900000000000006</v>
      </c>
      <c r="K56" s="64">
        <v>69.099999999999994</v>
      </c>
      <c r="L56" s="64">
        <v>69.099999999999994</v>
      </c>
      <c r="M56" s="64">
        <v>69.099999999999994</v>
      </c>
      <c r="N56" s="64">
        <v>69.099999999999994</v>
      </c>
      <c r="O56" s="64">
        <v>69.099999999999994</v>
      </c>
      <c r="P56" s="64">
        <v>68.5</v>
      </c>
      <c r="Q56" s="64">
        <v>70.3</v>
      </c>
      <c r="R56" s="64">
        <v>70.3</v>
      </c>
      <c r="S56" s="64">
        <v>70.3</v>
      </c>
      <c r="T56" s="64">
        <v>70.3</v>
      </c>
      <c r="U56" s="64">
        <v>70.3</v>
      </c>
      <c r="V56" s="64">
        <v>70.3</v>
      </c>
      <c r="W56" s="64">
        <v>70.3</v>
      </c>
      <c r="X56" s="64">
        <v>70.3</v>
      </c>
      <c r="Y56" s="45">
        <v>70.3</v>
      </c>
      <c r="Z56" s="45">
        <v>70.3</v>
      </c>
      <c r="AA56" s="45">
        <v>70.3</v>
      </c>
      <c r="AB56" s="45">
        <v>70.3</v>
      </c>
      <c r="AC56" s="45">
        <v>70.3</v>
      </c>
      <c r="AD56" s="45">
        <v>70.3</v>
      </c>
      <c r="AE56" s="45">
        <v>70.3</v>
      </c>
      <c r="AF56" s="45">
        <v>70.3</v>
      </c>
      <c r="AG56" s="54">
        <v>70</v>
      </c>
      <c r="AH56" s="47">
        <f t="shared" si="2"/>
        <v>71</v>
      </c>
      <c r="AI56" s="48">
        <f t="shared" si="3"/>
        <v>67</v>
      </c>
      <c r="AK56" s="50"/>
    </row>
    <row r="57" spans="1:41" x14ac:dyDescent="0.25">
      <c r="A57" s="53" t="s">
        <v>65</v>
      </c>
      <c r="B57" s="64">
        <v>66.2</v>
      </c>
      <c r="C57" s="64">
        <v>66.2</v>
      </c>
      <c r="D57" s="64">
        <v>66.2</v>
      </c>
      <c r="E57" s="64">
        <v>66</v>
      </c>
      <c r="F57" s="64">
        <v>65.8</v>
      </c>
      <c r="G57" s="64">
        <v>66.099999999999994</v>
      </c>
      <c r="H57" s="64">
        <v>66.099999999999994</v>
      </c>
      <c r="I57" s="64">
        <v>66.099999999999994</v>
      </c>
      <c r="J57" s="64">
        <v>65.599999999999994</v>
      </c>
      <c r="K57" s="64">
        <v>65.099999999999994</v>
      </c>
      <c r="L57" s="64">
        <v>65.099999999999994</v>
      </c>
      <c r="M57" s="64">
        <v>65.099999999999994</v>
      </c>
      <c r="N57" s="64">
        <v>65.099999999999994</v>
      </c>
      <c r="O57" s="64">
        <v>65.099999999999994</v>
      </c>
      <c r="P57" s="64">
        <v>65.900000000000006</v>
      </c>
      <c r="Q57" s="64">
        <v>65.7</v>
      </c>
      <c r="R57" s="64">
        <v>65.7</v>
      </c>
      <c r="S57" s="64">
        <v>65.7</v>
      </c>
      <c r="T57" s="64">
        <v>65.7</v>
      </c>
      <c r="U57" s="64">
        <v>65.7</v>
      </c>
      <c r="V57" s="64">
        <v>65.7</v>
      </c>
      <c r="W57" s="64">
        <v>65.7</v>
      </c>
      <c r="X57" s="64">
        <v>65.7</v>
      </c>
      <c r="Y57" s="45">
        <v>65.7</v>
      </c>
      <c r="Z57" s="45">
        <v>65.7</v>
      </c>
      <c r="AA57" s="45">
        <v>65.7</v>
      </c>
      <c r="AB57" s="45">
        <v>66.2</v>
      </c>
      <c r="AC57" s="45">
        <v>66.2</v>
      </c>
      <c r="AD57" s="45">
        <v>66.2</v>
      </c>
      <c r="AE57" s="45">
        <v>66.2</v>
      </c>
      <c r="AF57" s="45">
        <v>66.2</v>
      </c>
      <c r="AG57" s="54">
        <v>69</v>
      </c>
      <c r="AH57" s="47">
        <f t="shared" si="2"/>
        <v>66.2</v>
      </c>
      <c r="AI57" s="48">
        <f t="shared" si="3"/>
        <v>65.099999999999994</v>
      </c>
      <c r="AK57" s="50"/>
    </row>
    <row r="58" spans="1:41" x14ac:dyDescent="0.25">
      <c r="A58" s="53" t="s">
        <v>66</v>
      </c>
      <c r="B58" s="64">
        <v>60.4</v>
      </c>
      <c r="C58" s="64">
        <v>60.4</v>
      </c>
      <c r="D58" s="64">
        <v>60.4</v>
      </c>
      <c r="E58" s="56">
        <v>60.4</v>
      </c>
      <c r="F58" s="56">
        <v>60.4</v>
      </c>
      <c r="G58" s="56">
        <v>60.4</v>
      </c>
      <c r="H58" s="56">
        <v>0</v>
      </c>
      <c r="I58" s="56">
        <v>60.2</v>
      </c>
      <c r="J58" s="56">
        <v>60.2</v>
      </c>
      <c r="K58" s="56">
        <v>60.2</v>
      </c>
      <c r="L58" s="56">
        <v>60.2</v>
      </c>
      <c r="M58" s="56">
        <v>60.2</v>
      </c>
      <c r="N58" s="56">
        <v>60.2</v>
      </c>
      <c r="O58" s="56">
        <v>60.2</v>
      </c>
      <c r="P58" s="56">
        <v>60.2</v>
      </c>
      <c r="Q58" s="56">
        <v>60.2</v>
      </c>
      <c r="R58" s="56">
        <v>60.2</v>
      </c>
      <c r="S58" s="56">
        <v>60.2</v>
      </c>
      <c r="T58" s="56">
        <v>60.2</v>
      </c>
      <c r="U58" s="56">
        <v>60.2</v>
      </c>
      <c r="V58" s="56">
        <v>60.2</v>
      </c>
      <c r="W58" s="56">
        <v>60.2</v>
      </c>
      <c r="X58" s="56">
        <v>60.2</v>
      </c>
      <c r="Y58" s="45">
        <v>60.2</v>
      </c>
      <c r="Z58" s="45">
        <v>60.2</v>
      </c>
      <c r="AA58" s="45">
        <v>60.2</v>
      </c>
      <c r="AB58" s="45">
        <v>60.2</v>
      </c>
      <c r="AC58" s="45">
        <v>60.2</v>
      </c>
      <c r="AD58" s="45">
        <v>60.2</v>
      </c>
      <c r="AE58" s="45">
        <v>60.2</v>
      </c>
      <c r="AF58" s="45">
        <v>60.2</v>
      </c>
      <c r="AG58" s="54">
        <v>60</v>
      </c>
      <c r="AH58" s="47">
        <f t="shared" si="2"/>
        <v>60.4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56">
        <v>30</v>
      </c>
      <c r="F59" s="56">
        <v>30</v>
      </c>
      <c r="G59" s="56">
        <v>30</v>
      </c>
      <c r="H59" s="56">
        <v>30</v>
      </c>
      <c r="I59" s="56">
        <v>30</v>
      </c>
      <c r="J59" s="56">
        <v>30</v>
      </c>
      <c r="K59" s="56">
        <v>30</v>
      </c>
      <c r="L59" s="56">
        <v>30</v>
      </c>
      <c r="M59" s="56">
        <v>30</v>
      </c>
      <c r="N59" s="56">
        <v>30</v>
      </c>
      <c r="O59" s="56">
        <v>30</v>
      </c>
      <c r="P59" s="56">
        <v>30</v>
      </c>
      <c r="Q59" s="56">
        <v>30</v>
      </c>
      <c r="R59" s="56">
        <v>30</v>
      </c>
      <c r="S59" s="56">
        <v>30</v>
      </c>
      <c r="T59" s="56">
        <v>30</v>
      </c>
      <c r="U59" s="56">
        <v>30</v>
      </c>
      <c r="V59" s="56">
        <v>30</v>
      </c>
      <c r="W59" s="56">
        <v>30</v>
      </c>
      <c r="X59" s="56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30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0.7</v>
      </c>
      <c r="K60" s="64">
        <v>1.9</v>
      </c>
      <c r="L60" s="64">
        <v>3.9</v>
      </c>
      <c r="M60" s="64">
        <v>4.8899999999999997</v>
      </c>
      <c r="N60" s="64">
        <v>12.7</v>
      </c>
      <c r="O60" s="64">
        <v>15.81</v>
      </c>
      <c r="P60" s="64">
        <v>18.399999999999999</v>
      </c>
      <c r="Q60" s="64">
        <v>15.7</v>
      </c>
      <c r="R60" s="64">
        <v>15.7</v>
      </c>
      <c r="S60" s="64">
        <v>12.4</v>
      </c>
      <c r="T60" s="64">
        <v>8.5</v>
      </c>
      <c r="U60" s="64">
        <v>6.6</v>
      </c>
      <c r="V60" s="64">
        <v>4.2</v>
      </c>
      <c r="W60" s="64">
        <v>1.5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18.399999999999999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10.1</v>
      </c>
      <c r="C63" s="64">
        <v>10.1</v>
      </c>
      <c r="D63" s="64">
        <v>10.1</v>
      </c>
      <c r="E63" s="64">
        <v>10.1</v>
      </c>
      <c r="F63" s="64">
        <v>10.1</v>
      </c>
      <c r="G63" s="64">
        <v>10.1</v>
      </c>
      <c r="H63" s="64">
        <v>10.1</v>
      </c>
      <c r="I63" s="64">
        <v>10.1</v>
      </c>
      <c r="J63" s="64">
        <v>10.1</v>
      </c>
      <c r="K63" s="64">
        <v>10.1</v>
      </c>
      <c r="L63" s="64">
        <v>10.1</v>
      </c>
      <c r="M63" s="64">
        <v>10.1</v>
      </c>
      <c r="N63" s="64">
        <v>10.1</v>
      </c>
      <c r="O63" s="64">
        <v>10.1</v>
      </c>
      <c r="P63" s="64">
        <v>10.1</v>
      </c>
      <c r="Q63" s="64">
        <v>11.6</v>
      </c>
      <c r="R63" s="64">
        <v>11.6</v>
      </c>
      <c r="S63" s="64">
        <v>11.6</v>
      </c>
      <c r="T63" s="64">
        <v>11.6</v>
      </c>
      <c r="U63" s="64">
        <v>11.9</v>
      </c>
      <c r="V63" s="64">
        <v>11.9</v>
      </c>
      <c r="W63" s="64">
        <v>11.9</v>
      </c>
      <c r="X63" s="64">
        <v>11.5</v>
      </c>
      <c r="Y63" s="64">
        <v>12.1</v>
      </c>
      <c r="Z63" s="64">
        <v>12.1</v>
      </c>
      <c r="AA63" s="64">
        <v>12.1</v>
      </c>
      <c r="AB63" s="64">
        <v>12.4</v>
      </c>
      <c r="AC63" s="64">
        <v>12.4</v>
      </c>
      <c r="AD63" s="64">
        <v>12.4</v>
      </c>
      <c r="AE63" s="64">
        <v>12.4</v>
      </c>
      <c r="AF63" s="64">
        <v>12.4</v>
      </c>
      <c r="AG63" s="54">
        <v>14.1</v>
      </c>
      <c r="AH63" s="47">
        <f t="shared" si="2"/>
        <v>12.4</v>
      </c>
      <c r="AI63" s="48">
        <f t="shared" si="3"/>
        <v>10.1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14</v>
      </c>
      <c r="D64" s="64">
        <v>14</v>
      </c>
      <c r="E64" s="64">
        <v>14</v>
      </c>
      <c r="F64" s="64">
        <v>14</v>
      </c>
      <c r="G64" s="64">
        <v>14</v>
      </c>
      <c r="H64" s="64">
        <v>14</v>
      </c>
      <c r="I64" s="64">
        <v>14</v>
      </c>
      <c r="J64" s="64">
        <v>14</v>
      </c>
      <c r="K64" s="64">
        <v>14</v>
      </c>
      <c r="L64" s="64">
        <v>14</v>
      </c>
      <c r="M64" s="64">
        <v>14</v>
      </c>
      <c r="N64" s="64">
        <v>14</v>
      </c>
      <c r="O64" s="64">
        <v>14</v>
      </c>
      <c r="P64" s="64">
        <v>14</v>
      </c>
      <c r="Q64" s="64">
        <v>13.8</v>
      </c>
      <c r="R64" s="64">
        <v>13.8</v>
      </c>
      <c r="S64" s="64">
        <v>13.8</v>
      </c>
      <c r="T64" s="64">
        <v>13.8</v>
      </c>
      <c r="U64" s="64">
        <v>13.8</v>
      </c>
      <c r="V64" s="64">
        <v>13.8</v>
      </c>
      <c r="W64" s="64">
        <v>13.8</v>
      </c>
      <c r="X64" s="64">
        <v>13.9</v>
      </c>
      <c r="Y64" s="64">
        <v>13.9</v>
      </c>
      <c r="Z64" s="64">
        <v>13.9</v>
      </c>
      <c r="AA64" s="64">
        <v>13.9</v>
      </c>
      <c r="AB64" s="64">
        <v>14.1</v>
      </c>
      <c r="AC64" s="64">
        <v>14.1</v>
      </c>
      <c r="AD64" s="64">
        <v>14.1</v>
      </c>
      <c r="AE64" s="64">
        <v>14.1</v>
      </c>
      <c r="AF64" s="64">
        <v>14.1</v>
      </c>
      <c r="AG64" s="54">
        <v>14</v>
      </c>
      <c r="AH64" s="47">
        <f t="shared" si="2"/>
        <v>14.1</v>
      </c>
      <c r="AI64" s="48">
        <f t="shared" si="3"/>
        <v>13.8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435.44</v>
      </c>
      <c r="C68" s="60">
        <f t="shared" si="8"/>
        <v>435.44</v>
      </c>
      <c r="D68" s="60">
        <f t="shared" si="8"/>
        <v>435.44</v>
      </c>
      <c r="E68" s="60">
        <f t="shared" si="8"/>
        <v>432.34000000000003</v>
      </c>
      <c r="F68" s="60">
        <f t="shared" si="8"/>
        <v>431.44</v>
      </c>
      <c r="G68" s="60">
        <f t="shared" si="8"/>
        <v>434.24</v>
      </c>
      <c r="H68" s="60">
        <f t="shared" si="8"/>
        <v>373.84000000000003</v>
      </c>
      <c r="I68" s="60">
        <f t="shared" si="8"/>
        <v>434.04</v>
      </c>
      <c r="J68" s="60">
        <f t="shared" si="8"/>
        <v>436.14</v>
      </c>
      <c r="K68" s="60">
        <f t="shared" si="8"/>
        <v>435.14</v>
      </c>
      <c r="L68" s="60">
        <f t="shared" si="8"/>
        <v>437.14</v>
      </c>
      <c r="M68" s="60">
        <f t="shared" si="8"/>
        <v>438.13</v>
      </c>
      <c r="N68" s="60">
        <f t="shared" si="8"/>
        <v>445.94</v>
      </c>
      <c r="O68" s="60">
        <f t="shared" si="8"/>
        <v>449.05</v>
      </c>
      <c r="P68" s="60">
        <f t="shared" si="8"/>
        <v>451.64000000000004</v>
      </c>
      <c r="Q68" s="60">
        <f t="shared" si="8"/>
        <v>451.64</v>
      </c>
      <c r="R68" s="60">
        <f t="shared" si="8"/>
        <v>451.64</v>
      </c>
      <c r="S68" s="60">
        <f t="shared" ref="S68:AA68" si="9">SUM(S55:S67)</f>
        <v>448.34</v>
      </c>
      <c r="T68" s="60">
        <f t="shared" si="9"/>
        <v>444.44</v>
      </c>
      <c r="U68" s="60">
        <f t="shared" si="9"/>
        <v>443.24</v>
      </c>
      <c r="V68" s="60">
        <f t="shared" si="9"/>
        <v>440.84</v>
      </c>
      <c r="W68" s="60">
        <f t="shared" si="9"/>
        <v>438.14</v>
      </c>
      <c r="X68" s="60">
        <f t="shared" si="9"/>
        <v>436.34</v>
      </c>
      <c r="Y68" s="60">
        <f t="shared" si="9"/>
        <v>436.94</v>
      </c>
      <c r="Z68" s="60">
        <f t="shared" si="9"/>
        <v>436.94</v>
      </c>
      <c r="AA68" s="60">
        <f t="shared" si="9"/>
        <v>436.94</v>
      </c>
      <c r="AB68" s="60">
        <f t="shared" si="8"/>
        <v>438.44</v>
      </c>
      <c r="AC68" s="60">
        <f t="shared" si="8"/>
        <v>438.44</v>
      </c>
      <c r="AD68" s="60">
        <f t="shared" si="8"/>
        <v>438.44</v>
      </c>
      <c r="AE68" s="60">
        <f t="shared" si="8"/>
        <v>438.44</v>
      </c>
      <c r="AF68" s="60">
        <f t="shared" si="8"/>
        <v>438.44</v>
      </c>
      <c r="AG68" s="61">
        <f t="shared" si="8"/>
        <v>489.91</v>
      </c>
      <c r="AH68" s="47">
        <f t="shared" si="2"/>
        <v>451.64000000000004</v>
      </c>
      <c r="AI68" s="48">
        <f t="shared" si="3"/>
        <v>373.84000000000003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>
        <v>14</v>
      </c>
      <c r="L69" s="45">
        <v>29.3</v>
      </c>
      <c r="M69" s="45">
        <v>49</v>
      </c>
      <c r="N69" s="45">
        <v>49</v>
      </c>
      <c r="O69" s="45">
        <v>49</v>
      </c>
      <c r="P69" s="45">
        <v>58</v>
      </c>
      <c r="Q69" s="45">
        <v>39.4</v>
      </c>
      <c r="R69" s="45">
        <v>39.4</v>
      </c>
      <c r="S69" s="45">
        <v>39.4</v>
      </c>
      <c r="T69" s="45">
        <v>49.5</v>
      </c>
      <c r="U69" s="45">
        <v>49.6</v>
      </c>
      <c r="V69" s="45">
        <v>34.700000000000003</v>
      </c>
      <c r="W69" s="45">
        <v>34.700000000000003</v>
      </c>
      <c r="X69" s="45">
        <v>59.9</v>
      </c>
      <c r="Y69" s="45">
        <v>58.8</v>
      </c>
      <c r="Z69" s="45">
        <v>58.8</v>
      </c>
      <c r="AA69" s="45">
        <v>58.8</v>
      </c>
      <c r="AB69" s="45">
        <v>29.3</v>
      </c>
      <c r="AC69" s="45">
        <v>29.3</v>
      </c>
      <c r="AD69" s="45">
        <v>29.3</v>
      </c>
      <c r="AE69" s="45">
        <v>29.3</v>
      </c>
      <c r="AF69" s="45">
        <v>0</v>
      </c>
      <c r="AG69" s="51">
        <v>60</v>
      </c>
      <c r="AH69" s="47">
        <f t="shared" si="2"/>
        <v>59.9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>
        <v>6.3</v>
      </c>
      <c r="L70" s="64">
        <v>14.6</v>
      </c>
      <c r="M70" s="64">
        <v>22</v>
      </c>
      <c r="N70" s="64">
        <v>22</v>
      </c>
      <c r="O70" s="64">
        <v>22</v>
      </c>
      <c r="P70" s="64">
        <v>28.8</v>
      </c>
      <c r="Q70" s="64">
        <v>18.7</v>
      </c>
      <c r="R70" s="64">
        <v>18.7</v>
      </c>
      <c r="S70" s="64">
        <v>18.7</v>
      </c>
      <c r="T70" s="64">
        <v>22.5</v>
      </c>
      <c r="U70" s="64">
        <v>29</v>
      </c>
      <c r="V70" s="64">
        <v>15.5</v>
      </c>
      <c r="W70" s="64">
        <v>14.4</v>
      </c>
      <c r="X70" s="64">
        <v>29.1</v>
      </c>
      <c r="Y70" s="64">
        <v>28.8</v>
      </c>
      <c r="Z70" s="64">
        <v>28.8</v>
      </c>
      <c r="AA70" s="64">
        <v>28.8</v>
      </c>
      <c r="AB70" s="64">
        <v>15.2</v>
      </c>
      <c r="AC70" s="64">
        <v>15.2</v>
      </c>
      <c r="AD70" s="64">
        <v>15.2</v>
      </c>
      <c r="AE70" s="64">
        <v>15.2</v>
      </c>
      <c r="AF70" s="45">
        <v>0</v>
      </c>
      <c r="AG70" s="54">
        <v>32</v>
      </c>
      <c r="AH70" s="47">
        <f t="shared" si="2"/>
        <v>29.1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>
        <v>1.7</v>
      </c>
      <c r="L71" s="66">
        <v>5.3</v>
      </c>
      <c r="M71" s="66">
        <v>8.3000000000000007</v>
      </c>
      <c r="N71" s="66">
        <v>8.3000000000000007</v>
      </c>
      <c r="O71" s="66">
        <v>8.3000000000000007</v>
      </c>
      <c r="P71" s="66">
        <v>10.5</v>
      </c>
      <c r="Q71" s="66">
        <v>6.8</v>
      </c>
      <c r="R71" s="66">
        <v>6.8</v>
      </c>
      <c r="S71" s="66">
        <v>6.8</v>
      </c>
      <c r="T71" s="66">
        <v>8.1999999999999993</v>
      </c>
      <c r="U71" s="66">
        <v>10.6</v>
      </c>
      <c r="V71" s="66">
        <v>5.7</v>
      </c>
      <c r="W71" s="66">
        <v>5.3</v>
      </c>
      <c r="X71" s="66">
        <v>10.6</v>
      </c>
      <c r="Y71" s="66">
        <v>10.5</v>
      </c>
      <c r="Z71" s="66">
        <v>10.5</v>
      </c>
      <c r="AA71" s="66">
        <v>10.5</v>
      </c>
      <c r="AB71" s="66">
        <v>5.6</v>
      </c>
      <c r="AC71" s="66">
        <v>5.6</v>
      </c>
      <c r="AD71" s="66">
        <v>5.6</v>
      </c>
      <c r="AE71" s="66">
        <v>5.6</v>
      </c>
      <c r="AF71" s="45">
        <v>0</v>
      </c>
      <c r="AG71" s="67">
        <v>14</v>
      </c>
      <c r="AH71" s="47">
        <f t="shared" si="2"/>
        <v>10.6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49.199999999999996</v>
      </c>
      <c r="M72" s="60">
        <f t="shared" ref="M72:AF72" si="10">M69+M70+M71</f>
        <v>79.3</v>
      </c>
      <c r="N72" s="60">
        <f t="shared" si="10"/>
        <v>79.3</v>
      </c>
      <c r="O72" s="60">
        <f t="shared" si="10"/>
        <v>79.3</v>
      </c>
      <c r="P72" s="60">
        <f t="shared" si="10"/>
        <v>97.3</v>
      </c>
      <c r="Q72" s="60">
        <f t="shared" si="10"/>
        <v>64.899999999999991</v>
      </c>
      <c r="R72" s="60">
        <f t="shared" si="10"/>
        <v>64.899999999999991</v>
      </c>
      <c r="S72" s="60">
        <f t="shared" ref="S72:AA72" si="11">S69+S70+S71</f>
        <v>64.899999999999991</v>
      </c>
      <c r="T72" s="60">
        <f t="shared" si="11"/>
        <v>80.2</v>
      </c>
      <c r="U72" s="60">
        <f t="shared" si="11"/>
        <v>89.199999999999989</v>
      </c>
      <c r="V72" s="60">
        <f t="shared" si="11"/>
        <v>55.900000000000006</v>
      </c>
      <c r="W72" s="60">
        <f t="shared" si="11"/>
        <v>54.4</v>
      </c>
      <c r="X72" s="60">
        <f t="shared" si="11"/>
        <v>99.6</v>
      </c>
      <c r="Y72" s="60">
        <f t="shared" si="11"/>
        <v>98.1</v>
      </c>
      <c r="Z72" s="60">
        <f t="shared" si="11"/>
        <v>98.1</v>
      </c>
      <c r="AA72" s="60">
        <f t="shared" si="11"/>
        <v>98.1</v>
      </c>
      <c r="AB72" s="60">
        <f t="shared" si="10"/>
        <v>50.1</v>
      </c>
      <c r="AC72" s="60">
        <f t="shared" si="10"/>
        <v>50.1</v>
      </c>
      <c r="AD72" s="60">
        <f t="shared" si="10"/>
        <v>50.1</v>
      </c>
      <c r="AE72" s="60">
        <f t="shared" si="10"/>
        <v>50.1</v>
      </c>
      <c r="AF72" s="60">
        <f t="shared" si="10"/>
        <v>0</v>
      </c>
      <c r="AG72" s="61">
        <f>SUM(AG69:AG71)</f>
        <v>106</v>
      </c>
      <c r="AH72" s="47">
        <f t="shared" si="2"/>
        <v>99.6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-15.4</v>
      </c>
      <c r="C73" s="45">
        <v>-19.7</v>
      </c>
      <c r="D73" s="45">
        <v>-22.6</v>
      </c>
      <c r="E73" s="45">
        <v>-51.8</v>
      </c>
      <c r="F73" s="45">
        <v>-53.3</v>
      </c>
      <c r="G73" s="45">
        <v>-56.4</v>
      </c>
      <c r="H73" s="45">
        <v>-58.8</v>
      </c>
      <c r="I73" s="45">
        <v>-64.2</v>
      </c>
      <c r="J73" s="45">
        <v>-67.099999999999994</v>
      </c>
      <c r="K73" s="45">
        <v>-53.2</v>
      </c>
      <c r="L73" s="45">
        <v>-43.2</v>
      </c>
      <c r="M73" s="45">
        <v>-49</v>
      </c>
      <c r="N73" s="45">
        <v>-50</v>
      </c>
      <c r="O73" s="45">
        <v>-45</v>
      </c>
      <c r="P73" s="45">
        <v>-42</v>
      </c>
      <c r="Q73" s="45">
        <v>-38.9</v>
      </c>
      <c r="R73" s="45">
        <v>-37</v>
      </c>
      <c r="S73" s="45">
        <v>-24.2</v>
      </c>
      <c r="T73" s="45">
        <v>-25</v>
      </c>
      <c r="U73" s="45">
        <v>-25.3</v>
      </c>
      <c r="V73" s="45">
        <v>-36.4</v>
      </c>
      <c r="W73" s="45">
        <v>-37.5</v>
      </c>
      <c r="X73" s="45">
        <v>-39.1</v>
      </c>
      <c r="Y73" s="45">
        <v>19</v>
      </c>
      <c r="Z73" s="45">
        <v>33.299999999999997</v>
      </c>
      <c r="AA73" s="45">
        <v>38.1</v>
      </c>
      <c r="AB73" s="45">
        <v>20.5</v>
      </c>
      <c r="AC73" s="45">
        <v>26</v>
      </c>
      <c r="AD73" s="45">
        <v>26</v>
      </c>
      <c r="AE73" s="45">
        <v>-13.6</v>
      </c>
      <c r="AF73" s="45">
        <v>-17</v>
      </c>
      <c r="AG73" s="51"/>
      <c r="AH73" s="47">
        <f t="shared" si="2"/>
        <v>38.1</v>
      </c>
      <c r="AI73" s="48">
        <f t="shared" si="3"/>
        <v>-67.099999999999994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-489</v>
      </c>
      <c r="C75" s="64">
        <v>-512</v>
      </c>
      <c r="D75" s="64">
        <v>-525</v>
      </c>
      <c r="E75" s="64">
        <v>-523.79999999999995</v>
      </c>
      <c r="F75" s="64">
        <v>-548</v>
      </c>
      <c r="G75" s="64">
        <v>-556.4</v>
      </c>
      <c r="H75" s="64">
        <v>-524.79999999999995</v>
      </c>
      <c r="I75" s="64">
        <v>-584</v>
      </c>
      <c r="J75" s="64">
        <v>-565</v>
      </c>
      <c r="K75" s="64">
        <v>-564.4</v>
      </c>
      <c r="L75" s="64">
        <v>-489</v>
      </c>
      <c r="M75" s="64">
        <v>-496</v>
      </c>
      <c r="N75" s="64">
        <v>-500</v>
      </c>
      <c r="O75" s="64">
        <v>-479</v>
      </c>
      <c r="P75" s="64">
        <v>-440</v>
      </c>
      <c r="Q75" s="64">
        <v>-456</v>
      </c>
      <c r="R75" s="64">
        <v>-466</v>
      </c>
      <c r="S75" s="64">
        <v>-448</v>
      </c>
      <c r="T75" s="64">
        <v>-488</v>
      </c>
      <c r="U75" s="64">
        <v>-426.2</v>
      </c>
      <c r="V75" s="64">
        <v>-471.2</v>
      </c>
      <c r="W75" s="64">
        <v>-503.3</v>
      </c>
      <c r="X75" s="64">
        <v>-445.1</v>
      </c>
      <c r="Y75" s="64">
        <v>-371.1</v>
      </c>
      <c r="Z75" s="64">
        <v>-385.6</v>
      </c>
      <c r="AA75" s="64">
        <v>-462.1</v>
      </c>
      <c r="AB75" s="64">
        <v>-443.3</v>
      </c>
      <c r="AC75" s="64">
        <v>-456</v>
      </c>
      <c r="AD75" s="64">
        <v>-450</v>
      </c>
      <c r="AE75" s="64">
        <v>-463</v>
      </c>
      <c r="AF75" s="64">
        <v>-475</v>
      </c>
      <c r="AG75" s="74"/>
      <c r="AH75" s="47">
        <f t="shared" si="2"/>
        <v>-371.1</v>
      </c>
      <c r="AI75" s="48">
        <f t="shared" si="3"/>
        <v>-584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 t="s">
        <v>262</v>
      </c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/>
      <c r="AD77" s="45"/>
      <c r="AE77" s="45"/>
      <c r="AF77" s="45"/>
      <c r="AG77" s="74"/>
      <c r="AH77" s="47">
        <f t="shared" ref="AH77:AH120" si="12">MAX(B77:AF77)</f>
        <v>0</v>
      </c>
      <c r="AI77" s="48">
        <f t="shared" ref="AI77:AI120" si="13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/>
      <c r="AD78" s="76"/>
      <c r="AE78" s="76"/>
      <c r="AF78" s="76"/>
      <c r="AG78" s="74"/>
      <c r="AH78" s="47">
        <f t="shared" si="12"/>
        <v>0</v>
      </c>
      <c r="AI78" s="48">
        <f t="shared" si="13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/>
      <c r="AD79" s="76"/>
      <c r="AE79" s="76"/>
      <c r="AF79" s="76"/>
      <c r="AG79" s="74"/>
      <c r="AH79" s="47">
        <f t="shared" si="12"/>
        <v>0</v>
      </c>
      <c r="AI79" s="48">
        <f t="shared" si="13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/>
      <c r="AD80" s="76"/>
      <c r="AE80" s="76"/>
      <c r="AF80" s="76"/>
      <c r="AG80" s="74"/>
      <c r="AH80" s="47">
        <f t="shared" si="12"/>
        <v>0</v>
      </c>
      <c r="AI80" s="48">
        <f t="shared" si="13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/>
      <c r="AD81" s="76"/>
      <c r="AE81" s="76"/>
      <c r="AF81" s="76"/>
      <c r="AG81" s="74"/>
      <c r="AH81" s="47">
        <f t="shared" si="12"/>
        <v>0</v>
      </c>
      <c r="AI81" s="48">
        <f t="shared" si="13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/>
      <c r="AD82" s="76"/>
      <c r="AE82" s="76"/>
      <c r="AF82" s="76"/>
      <c r="AG82" s="84"/>
      <c r="AH82" s="47">
        <f t="shared" si="12"/>
        <v>0</v>
      </c>
      <c r="AI82" s="48">
        <f t="shared" si="13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/>
      <c r="AD83" s="76"/>
      <c r="AE83" s="76"/>
      <c r="AF83" s="76"/>
      <c r="AG83" s="84"/>
      <c r="AH83" s="47">
        <f t="shared" si="12"/>
        <v>0</v>
      </c>
      <c r="AI83" s="48">
        <f t="shared" si="13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4">SUMIF(B73:B83,"&gt;0")</f>
        <v>0</v>
      </c>
      <c r="C84" s="60">
        <f t="shared" si="14"/>
        <v>0</v>
      </c>
      <c r="D84" s="60">
        <f t="shared" si="14"/>
        <v>0</v>
      </c>
      <c r="E84" s="60">
        <f t="shared" si="14"/>
        <v>0</v>
      </c>
      <c r="F84" s="60">
        <f t="shared" si="14"/>
        <v>0</v>
      </c>
      <c r="G84" s="60">
        <f t="shared" si="14"/>
        <v>0</v>
      </c>
      <c r="H84" s="60">
        <f t="shared" si="14"/>
        <v>0</v>
      </c>
      <c r="I84" s="60">
        <f t="shared" si="14"/>
        <v>0</v>
      </c>
      <c r="J84" s="60">
        <f t="shared" si="14"/>
        <v>0</v>
      </c>
      <c r="K84" s="60">
        <f t="shared" si="14"/>
        <v>0</v>
      </c>
      <c r="L84" s="60">
        <f t="shared" si="14"/>
        <v>0</v>
      </c>
      <c r="M84" s="60">
        <f t="shared" si="14"/>
        <v>0</v>
      </c>
      <c r="N84" s="60">
        <f t="shared" si="14"/>
        <v>0</v>
      </c>
      <c r="O84" s="60">
        <f t="shared" si="14"/>
        <v>0</v>
      </c>
      <c r="P84" s="60">
        <f t="shared" si="14"/>
        <v>0</v>
      </c>
      <c r="Q84" s="60">
        <f t="shared" si="14"/>
        <v>0</v>
      </c>
      <c r="R84" s="60">
        <f t="shared" si="14"/>
        <v>0</v>
      </c>
      <c r="S84" s="60">
        <f t="shared" ref="S84:AA84" si="15">SUMIF(S73:S83,"&gt;0")</f>
        <v>0</v>
      </c>
      <c r="T84" s="60">
        <f t="shared" si="15"/>
        <v>0</v>
      </c>
      <c r="U84" s="60">
        <f t="shared" si="15"/>
        <v>0</v>
      </c>
      <c r="V84" s="60">
        <f t="shared" si="15"/>
        <v>0</v>
      </c>
      <c r="W84" s="60">
        <f t="shared" si="15"/>
        <v>0</v>
      </c>
      <c r="X84" s="60">
        <f t="shared" si="15"/>
        <v>0</v>
      </c>
      <c r="Y84" s="60">
        <f t="shared" si="15"/>
        <v>19</v>
      </c>
      <c r="Z84" s="60">
        <f t="shared" si="15"/>
        <v>33.299999999999997</v>
      </c>
      <c r="AA84" s="60">
        <f t="shared" si="15"/>
        <v>38.1</v>
      </c>
      <c r="AB84" s="60">
        <f t="shared" si="14"/>
        <v>20.5</v>
      </c>
      <c r="AC84" s="60">
        <f t="shared" si="14"/>
        <v>26</v>
      </c>
      <c r="AD84" s="60">
        <f t="shared" si="14"/>
        <v>26</v>
      </c>
      <c r="AE84" s="60">
        <f t="shared" si="14"/>
        <v>0</v>
      </c>
      <c r="AF84" s="60">
        <f t="shared" si="14"/>
        <v>0</v>
      </c>
      <c r="AG84" s="87">
        <f>SUM(AG73:AG83)</f>
        <v>0</v>
      </c>
      <c r="AH84" s="47">
        <f t="shared" si="12"/>
        <v>38.1</v>
      </c>
      <c r="AI84" s="48">
        <f t="shared" si="13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2"/>
        <v>0</v>
      </c>
      <c r="AI85" s="48">
        <f t="shared" si="13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2"/>
        <v>0</v>
      </c>
      <c r="AI86" s="48">
        <f t="shared" si="13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2"/>
        <v>0</v>
      </c>
      <c r="AI87" s="48">
        <f t="shared" si="13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2"/>
        <v>0</v>
      </c>
      <c r="AI88" s="48">
        <f t="shared" si="13"/>
        <v>0</v>
      </c>
    </row>
    <row r="89" spans="1:40" ht="15.75" thickBot="1" x14ac:dyDescent="0.3">
      <c r="A89" s="73" t="s">
        <v>100</v>
      </c>
      <c r="B89" s="94">
        <f t="shared" ref="B89:AG89" si="16">B50+B54+B72+B68+B84+B88</f>
        <v>2141.34</v>
      </c>
      <c r="C89" s="94">
        <f t="shared" si="16"/>
        <v>2141.34</v>
      </c>
      <c r="D89" s="94">
        <f t="shared" si="16"/>
        <v>2125.54</v>
      </c>
      <c r="E89" s="94">
        <f t="shared" si="16"/>
        <v>2127.5400000000004</v>
      </c>
      <c r="F89" s="94">
        <f t="shared" si="16"/>
        <v>2137.1400000000003</v>
      </c>
      <c r="G89" s="94">
        <f t="shared" si="16"/>
        <v>2139.9400000000005</v>
      </c>
      <c r="H89" s="94">
        <f t="shared" si="16"/>
        <v>2114.84</v>
      </c>
      <c r="I89" s="94">
        <f t="shared" si="16"/>
        <v>2169.7400000000002</v>
      </c>
      <c r="J89" s="94">
        <f t="shared" si="16"/>
        <v>2175.94</v>
      </c>
      <c r="K89" s="94">
        <f t="shared" si="16"/>
        <v>2192.8399999999997</v>
      </c>
      <c r="L89" s="94">
        <f t="shared" si="16"/>
        <v>2244.04</v>
      </c>
      <c r="M89" s="94">
        <f t="shared" si="16"/>
        <v>2239.1299999999997</v>
      </c>
      <c r="N89" s="94">
        <f t="shared" si="16"/>
        <v>2246.9399999999996</v>
      </c>
      <c r="O89" s="94">
        <f t="shared" si="16"/>
        <v>2268.0499999999997</v>
      </c>
      <c r="P89" s="94">
        <f t="shared" si="16"/>
        <v>2283.64</v>
      </c>
      <c r="Q89" s="94">
        <f t="shared" si="16"/>
        <v>2247.7400000000002</v>
      </c>
      <c r="R89" s="94">
        <f t="shared" si="16"/>
        <v>2252.7400000000002</v>
      </c>
      <c r="S89" s="94">
        <f t="shared" ref="S89:AA89" si="17">S50+S54+S72+S68+S84+S88</f>
        <v>2249.44</v>
      </c>
      <c r="T89" s="94">
        <f t="shared" si="17"/>
        <v>2260.84</v>
      </c>
      <c r="U89" s="94">
        <f t="shared" si="17"/>
        <v>2221.9399999999996</v>
      </c>
      <c r="V89" s="94">
        <f t="shared" si="17"/>
        <v>2186.2399999999998</v>
      </c>
      <c r="W89" s="94">
        <f t="shared" si="17"/>
        <v>2182.04</v>
      </c>
      <c r="X89" s="94">
        <f t="shared" si="17"/>
        <v>2215.9399999999996</v>
      </c>
      <c r="Y89" s="94">
        <f t="shared" si="17"/>
        <v>2264.14</v>
      </c>
      <c r="Z89" s="94">
        <f t="shared" si="17"/>
        <v>2278.44</v>
      </c>
      <c r="AA89" s="94">
        <f t="shared" si="17"/>
        <v>2283.2399999999998</v>
      </c>
      <c r="AB89" s="94">
        <f t="shared" si="16"/>
        <v>2230.2399999999998</v>
      </c>
      <c r="AC89" s="94">
        <f t="shared" si="16"/>
        <v>2224.7399999999998</v>
      </c>
      <c r="AD89" s="94">
        <f t="shared" si="16"/>
        <v>2224.7399999999998</v>
      </c>
      <c r="AE89" s="94">
        <f t="shared" si="16"/>
        <v>2198.7399999999998</v>
      </c>
      <c r="AF89" s="94">
        <f t="shared" si="16"/>
        <v>2124.64</v>
      </c>
      <c r="AG89" s="61">
        <f t="shared" si="16"/>
        <v>2111.5500000000002</v>
      </c>
      <c r="AH89" s="47">
        <f t="shared" si="12"/>
        <v>2283.64</v>
      </c>
      <c r="AI89" s="48">
        <f t="shared" si="13"/>
        <v>2114.84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2"/>
        <v>0</v>
      </c>
      <c r="AI90" s="48">
        <f t="shared" si="13"/>
        <v>0</v>
      </c>
    </row>
    <row r="91" spans="1:40" ht="15.75" thickBot="1" x14ac:dyDescent="0.3">
      <c r="A91" s="73" t="s">
        <v>102</v>
      </c>
      <c r="B91" s="94">
        <f t="shared" ref="B91:AF91" si="18">B89+B90</f>
        <v>2141.34</v>
      </c>
      <c r="C91" s="94">
        <f t="shared" si="18"/>
        <v>2141.34</v>
      </c>
      <c r="D91" s="94">
        <f t="shared" si="18"/>
        <v>2125.54</v>
      </c>
      <c r="E91" s="94">
        <f t="shared" si="18"/>
        <v>2127.5400000000004</v>
      </c>
      <c r="F91" s="94">
        <f t="shared" si="18"/>
        <v>2137.1400000000003</v>
      </c>
      <c r="G91" s="94">
        <f t="shared" si="18"/>
        <v>2139.9400000000005</v>
      </c>
      <c r="H91" s="94">
        <f t="shared" si="18"/>
        <v>2114.84</v>
      </c>
      <c r="I91" s="94">
        <f t="shared" si="18"/>
        <v>2169.7400000000002</v>
      </c>
      <c r="J91" s="94">
        <f t="shared" si="18"/>
        <v>2175.94</v>
      </c>
      <c r="K91" s="94">
        <f t="shared" si="18"/>
        <v>2192.8399999999997</v>
      </c>
      <c r="L91" s="94">
        <f t="shared" si="18"/>
        <v>2244.04</v>
      </c>
      <c r="M91" s="94">
        <f t="shared" si="18"/>
        <v>2239.1299999999997</v>
      </c>
      <c r="N91" s="94">
        <f t="shared" si="18"/>
        <v>2246.9399999999996</v>
      </c>
      <c r="O91" s="94">
        <f t="shared" si="18"/>
        <v>2268.0499999999997</v>
      </c>
      <c r="P91" s="94">
        <f t="shared" si="18"/>
        <v>2283.64</v>
      </c>
      <c r="Q91" s="94">
        <f t="shared" si="18"/>
        <v>2247.7400000000002</v>
      </c>
      <c r="R91" s="94">
        <f t="shared" si="18"/>
        <v>2252.7400000000002</v>
      </c>
      <c r="S91" s="94">
        <f t="shared" ref="S91:AA91" si="19">S89+S90</f>
        <v>2249.44</v>
      </c>
      <c r="T91" s="94">
        <f t="shared" si="19"/>
        <v>2260.84</v>
      </c>
      <c r="U91" s="94">
        <f t="shared" si="19"/>
        <v>2221.9399999999996</v>
      </c>
      <c r="V91" s="94">
        <f t="shared" si="19"/>
        <v>2186.2399999999998</v>
      </c>
      <c r="W91" s="94">
        <f t="shared" si="19"/>
        <v>2182.04</v>
      </c>
      <c r="X91" s="94">
        <f t="shared" si="19"/>
        <v>2215.9399999999996</v>
      </c>
      <c r="Y91" s="94">
        <f t="shared" si="19"/>
        <v>2264.14</v>
      </c>
      <c r="Z91" s="94">
        <f t="shared" si="19"/>
        <v>2278.44</v>
      </c>
      <c r="AA91" s="94">
        <f t="shared" si="19"/>
        <v>2283.2399999999998</v>
      </c>
      <c r="AB91" s="94">
        <f t="shared" si="18"/>
        <v>2230.2399999999998</v>
      </c>
      <c r="AC91" s="94">
        <f t="shared" si="18"/>
        <v>2224.7399999999998</v>
      </c>
      <c r="AD91" s="94">
        <f t="shared" si="18"/>
        <v>2224.7399999999998</v>
      </c>
      <c r="AE91" s="94">
        <f t="shared" si="18"/>
        <v>2198.7399999999998</v>
      </c>
      <c r="AF91" s="94">
        <f t="shared" si="18"/>
        <v>2124.64</v>
      </c>
      <c r="AG91" s="87">
        <f>AG88+AG84+AG72+AG68+AG50+AG90</f>
        <v>1573.45</v>
      </c>
      <c r="AH91" s="47">
        <f t="shared" si="12"/>
        <v>2283.64</v>
      </c>
      <c r="AI91" s="48">
        <f t="shared" si="13"/>
        <v>2114.84</v>
      </c>
    </row>
    <row r="92" spans="1:40" ht="15.75" thickBot="1" x14ac:dyDescent="0.3">
      <c r="A92" s="73" t="s">
        <v>103</v>
      </c>
      <c r="B92" s="94">
        <f>B91-(-B99)</f>
        <v>1652.3400000000001</v>
      </c>
      <c r="C92" s="94">
        <f t="shared" ref="C92:AF92" si="20">C91-(-C99)</f>
        <v>1629.3400000000001</v>
      </c>
      <c r="D92" s="94">
        <f t="shared" si="20"/>
        <v>1600.54</v>
      </c>
      <c r="E92" s="94">
        <f t="shared" si="20"/>
        <v>1603.7400000000005</v>
      </c>
      <c r="F92" s="94">
        <f t="shared" si="20"/>
        <v>1589.1400000000003</v>
      </c>
      <c r="G92" s="94">
        <f t="shared" si="20"/>
        <v>1583.5400000000004</v>
      </c>
      <c r="H92" s="94">
        <f t="shared" si="20"/>
        <v>1590.0400000000002</v>
      </c>
      <c r="I92" s="94">
        <f t="shared" si="20"/>
        <v>1585.7400000000002</v>
      </c>
      <c r="J92" s="94">
        <f t="shared" si="20"/>
        <v>1610.94</v>
      </c>
      <c r="K92" s="94">
        <f t="shared" si="20"/>
        <v>1628.4399999999996</v>
      </c>
      <c r="L92" s="94">
        <f t="shared" si="20"/>
        <v>1755.04</v>
      </c>
      <c r="M92" s="94">
        <f t="shared" si="20"/>
        <v>1743.1299999999997</v>
      </c>
      <c r="N92" s="94">
        <f t="shared" si="20"/>
        <v>1746.9399999999996</v>
      </c>
      <c r="O92" s="94">
        <f t="shared" si="20"/>
        <v>1789.0499999999997</v>
      </c>
      <c r="P92" s="94">
        <f t="shared" si="20"/>
        <v>1843.6399999999999</v>
      </c>
      <c r="Q92" s="94">
        <f t="shared" si="20"/>
        <v>1791.7400000000002</v>
      </c>
      <c r="R92" s="94">
        <f t="shared" si="20"/>
        <v>1786.7400000000002</v>
      </c>
      <c r="S92" s="94">
        <f t="shared" ref="S92:AA92" si="21">S91-(-S99)</f>
        <v>1801.44</v>
      </c>
      <c r="T92" s="94">
        <f t="shared" si="21"/>
        <v>1772.8400000000001</v>
      </c>
      <c r="U92" s="94">
        <f t="shared" si="21"/>
        <v>1795.7399999999996</v>
      </c>
      <c r="V92" s="94">
        <f t="shared" si="21"/>
        <v>1715.0399999999997</v>
      </c>
      <c r="W92" s="94">
        <f t="shared" si="21"/>
        <v>1678.74</v>
      </c>
      <c r="X92" s="94">
        <f t="shared" si="21"/>
        <v>1770.8399999999997</v>
      </c>
      <c r="Y92" s="94">
        <f t="shared" si="21"/>
        <v>1893.04</v>
      </c>
      <c r="Z92" s="94">
        <f t="shared" si="21"/>
        <v>1892.8400000000001</v>
      </c>
      <c r="AA92" s="94">
        <f t="shared" si="21"/>
        <v>1821.1399999999999</v>
      </c>
      <c r="AB92" s="94">
        <f t="shared" si="20"/>
        <v>1786.9399999999998</v>
      </c>
      <c r="AC92" s="94">
        <f t="shared" si="20"/>
        <v>1768.7399999999998</v>
      </c>
      <c r="AD92" s="94">
        <f t="shared" si="20"/>
        <v>1774.7399999999998</v>
      </c>
      <c r="AE92" s="94">
        <f t="shared" si="20"/>
        <v>1735.7399999999998</v>
      </c>
      <c r="AF92" s="94">
        <f t="shared" si="20"/>
        <v>1649.6399999999999</v>
      </c>
      <c r="AG92" s="87"/>
      <c r="AH92" s="47">
        <f t="shared" si="12"/>
        <v>1893.04</v>
      </c>
      <c r="AI92" s="48">
        <f t="shared" si="13"/>
        <v>1583.5400000000004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2"/>
        <v>0</v>
      </c>
      <c r="AI93" s="48">
        <f t="shared" si="13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2"/>
        <v>0</v>
      </c>
      <c r="AI94" s="48">
        <f t="shared" si="13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2"/>
        <v>0</v>
      </c>
      <c r="AI95" s="48">
        <f t="shared" si="13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2"/>
        <v>0</v>
      </c>
      <c r="AI96" s="48">
        <f t="shared" si="13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2"/>
        <v>0</v>
      </c>
      <c r="AI97" s="48">
        <f t="shared" si="13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2"/>
        <v>0</v>
      </c>
      <c r="AI98" s="48">
        <f t="shared" si="13"/>
        <v>0</v>
      </c>
    </row>
    <row r="99" spans="1:37" ht="15.75" thickBot="1" x14ac:dyDescent="0.3">
      <c r="A99" s="98" t="s">
        <v>107</v>
      </c>
      <c r="B99" s="60">
        <f>B75</f>
        <v>-489</v>
      </c>
      <c r="C99" s="60">
        <f t="shared" ref="C99:AF99" si="22">C75</f>
        <v>-512</v>
      </c>
      <c r="D99" s="60">
        <f t="shared" si="22"/>
        <v>-525</v>
      </c>
      <c r="E99" s="60">
        <f t="shared" si="22"/>
        <v>-523.79999999999995</v>
      </c>
      <c r="F99" s="60">
        <f t="shared" si="22"/>
        <v>-548</v>
      </c>
      <c r="G99" s="60">
        <f t="shared" si="22"/>
        <v>-556.4</v>
      </c>
      <c r="H99" s="60">
        <f t="shared" si="22"/>
        <v>-524.79999999999995</v>
      </c>
      <c r="I99" s="60">
        <f t="shared" si="22"/>
        <v>-584</v>
      </c>
      <c r="J99" s="60">
        <f t="shared" si="22"/>
        <v>-565</v>
      </c>
      <c r="K99" s="60">
        <f t="shared" si="22"/>
        <v>-564.4</v>
      </c>
      <c r="L99" s="60">
        <f t="shared" si="22"/>
        <v>-489</v>
      </c>
      <c r="M99" s="60">
        <f t="shared" si="22"/>
        <v>-496</v>
      </c>
      <c r="N99" s="60">
        <f t="shared" si="22"/>
        <v>-500</v>
      </c>
      <c r="O99" s="60">
        <f t="shared" si="22"/>
        <v>-479</v>
      </c>
      <c r="P99" s="60">
        <f t="shared" si="22"/>
        <v>-440</v>
      </c>
      <c r="Q99" s="60">
        <f t="shared" si="22"/>
        <v>-456</v>
      </c>
      <c r="R99" s="60">
        <f t="shared" si="22"/>
        <v>-466</v>
      </c>
      <c r="S99" s="60">
        <f t="shared" ref="S99:AA99" si="23">S75</f>
        <v>-448</v>
      </c>
      <c r="T99" s="60">
        <f t="shared" si="23"/>
        <v>-488</v>
      </c>
      <c r="U99" s="60">
        <f t="shared" si="23"/>
        <v>-426.2</v>
      </c>
      <c r="V99" s="60">
        <f t="shared" si="23"/>
        <v>-471.2</v>
      </c>
      <c r="W99" s="60">
        <f t="shared" si="23"/>
        <v>-503.3</v>
      </c>
      <c r="X99" s="60">
        <f t="shared" si="23"/>
        <v>-445.1</v>
      </c>
      <c r="Y99" s="60">
        <f t="shared" si="23"/>
        <v>-371.1</v>
      </c>
      <c r="Z99" s="60">
        <f t="shared" si="23"/>
        <v>-385.6</v>
      </c>
      <c r="AA99" s="60">
        <f t="shared" si="23"/>
        <v>-462.1</v>
      </c>
      <c r="AB99" s="60">
        <f t="shared" si="22"/>
        <v>-443.3</v>
      </c>
      <c r="AC99" s="60">
        <f t="shared" si="22"/>
        <v>-456</v>
      </c>
      <c r="AD99" s="60">
        <f t="shared" si="22"/>
        <v>-450</v>
      </c>
      <c r="AE99" s="60">
        <f t="shared" si="22"/>
        <v>-463</v>
      </c>
      <c r="AF99" s="60">
        <f t="shared" si="22"/>
        <v>-475</v>
      </c>
      <c r="AG99" s="87"/>
      <c r="AH99" s="47">
        <f t="shared" si="12"/>
        <v>-371.1</v>
      </c>
      <c r="AI99" s="48">
        <f t="shared" si="13"/>
        <v>-584</v>
      </c>
      <c r="AK99" s="50"/>
    </row>
    <row r="100" spans="1:37" ht="15.75" thickBot="1" x14ac:dyDescent="0.3">
      <c r="A100" s="73" t="s">
        <v>108</v>
      </c>
      <c r="B100" s="60">
        <f t="shared" ref="B100:AF100" si="24">B84-B99</f>
        <v>489</v>
      </c>
      <c r="C100" s="60">
        <f t="shared" si="24"/>
        <v>512</v>
      </c>
      <c r="D100" s="60">
        <f t="shared" si="24"/>
        <v>525</v>
      </c>
      <c r="E100" s="60">
        <f t="shared" si="24"/>
        <v>523.79999999999995</v>
      </c>
      <c r="F100" s="60">
        <f t="shared" si="24"/>
        <v>548</v>
      </c>
      <c r="G100" s="60">
        <f t="shared" si="24"/>
        <v>556.4</v>
      </c>
      <c r="H100" s="60">
        <f t="shared" si="24"/>
        <v>524.79999999999995</v>
      </c>
      <c r="I100" s="60">
        <f t="shared" si="24"/>
        <v>584</v>
      </c>
      <c r="J100" s="60">
        <f t="shared" si="24"/>
        <v>565</v>
      </c>
      <c r="K100" s="60">
        <f t="shared" si="24"/>
        <v>564.4</v>
      </c>
      <c r="L100" s="60">
        <f t="shared" si="24"/>
        <v>489</v>
      </c>
      <c r="M100" s="60">
        <f t="shared" si="24"/>
        <v>496</v>
      </c>
      <c r="N100" s="60">
        <f t="shared" si="24"/>
        <v>500</v>
      </c>
      <c r="O100" s="60">
        <f t="shared" si="24"/>
        <v>479</v>
      </c>
      <c r="P100" s="60">
        <f t="shared" si="24"/>
        <v>440</v>
      </c>
      <c r="Q100" s="60">
        <f t="shared" si="24"/>
        <v>456</v>
      </c>
      <c r="R100" s="60">
        <f t="shared" si="24"/>
        <v>466</v>
      </c>
      <c r="S100" s="60">
        <f t="shared" ref="S100:AA100" si="25">S84-S99</f>
        <v>448</v>
      </c>
      <c r="T100" s="60">
        <f t="shared" si="25"/>
        <v>488</v>
      </c>
      <c r="U100" s="60">
        <f t="shared" si="25"/>
        <v>426.2</v>
      </c>
      <c r="V100" s="60">
        <f t="shared" si="25"/>
        <v>471.2</v>
      </c>
      <c r="W100" s="60">
        <f t="shared" si="25"/>
        <v>503.3</v>
      </c>
      <c r="X100" s="60">
        <f t="shared" si="25"/>
        <v>445.1</v>
      </c>
      <c r="Y100" s="60">
        <f t="shared" si="25"/>
        <v>390.1</v>
      </c>
      <c r="Z100" s="60">
        <f t="shared" si="25"/>
        <v>418.90000000000003</v>
      </c>
      <c r="AA100" s="60">
        <f t="shared" si="25"/>
        <v>500.20000000000005</v>
      </c>
      <c r="AB100" s="60">
        <f t="shared" si="24"/>
        <v>463.8</v>
      </c>
      <c r="AC100" s="60">
        <f t="shared" si="24"/>
        <v>482</v>
      </c>
      <c r="AD100" s="60">
        <f t="shared" si="24"/>
        <v>476</v>
      </c>
      <c r="AE100" s="60">
        <f t="shared" si="24"/>
        <v>463</v>
      </c>
      <c r="AF100" s="60">
        <f t="shared" si="24"/>
        <v>475</v>
      </c>
      <c r="AG100" s="87"/>
      <c r="AH100" s="47">
        <f t="shared" si="12"/>
        <v>584</v>
      </c>
      <c r="AI100" s="48">
        <f t="shared" si="13"/>
        <v>390.1</v>
      </c>
    </row>
    <row r="101" spans="1:37" x14ac:dyDescent="0.25">
      <c r="A101" s="99" t="s">
        <v>109</v>
      </c>
      <c r="B101" s="100">
        <v>50.055999999999997</v>
      </c>
      <c r="C101" s="100">
        <v>49.981999999999999</v>
      </c>
      <c r="D101" s="100">
        <v>49.97</v>
      </c>
      <c r="E101" s="100">
        <v>50.017000000000003</v>
      </c>
      <c r="F101" s="100">
        <v>50.012999999999998</v>
      </c>
      <c r="G101" s="100">
        <v>49.970999999999997</v>
      </c>
      <c r="H101" s="100">
        <v>49.918999999999997</v>
      </c>
      <c r="I101" s="100">
        <v>49.918999999999997</v>
      </c>
      <c r="J101" s="100">
        <v>49.908000000000001</v>
      </c>
      <c r="K101" s="100">
        <v>49.957000000000001</v>
      </c>
      <c r="L101" s="100">
        <v>50.021999999999998</v>
      </c>
      <c r="M101" s="100">
        <v>50.021999999999998</v>
      </c>
      <c r="N101" s="100">
        <v>49.939</v>
      </c>
      <c r="O101" s="100">
        <v>50.002000000000002</v>
      </c>
      <c r="P101" s="100">
        <v>50.017000000000003</v>
      </c>
      <c r="Q101" s="100">
        <v>49.94</v>
      </c>
      <c r="R101" s="100">
        <v>49.94</v>
      </c>
      <c r="S101" s="100">
        <v>50.12</v>
      </c>
      <c r="T101" s="100">
        <v>49.97</v>
      </c>
      <c r="U101" s="100">
        <v>50.02</v>
      </c>
      <c r="V101" s="100">
        <v>49.89</v>
      </c>
      <c r="W101" s="100">
        <v>49.85</v>
      </c>
      <c r="X101" s="100">
        <v>49.96</v>
      </c>
      <c r="Y101" s="100">
        <v>49.94</v>
      </c>
      <c r="Z101" s="100">
        <v>49.96</v>
      </c>
      <c r="AA101" s="100">
        <v>49.86</v>
      </c>
      <c r="AB101" s="100">
        <v>50.030999999999999</v>
      </c>
      <c r="AC101" s="100">
        <v>50.030999999999999</v>
      </c>
      <c r="AD101" s="100">
        <v>50.036999999999999</v>
      </c>
      <c r="AE101" s="100">
        <v>50.04</v>
      </c>
      <c r="AF101" s="100">
        <v>49.994999999999997</v>
      </c>
      <c r="AG101" s="101"/>
      <c r="AH101" s="47">
        <f t="shared" si="12"/>
        <v>50.12</v>
      </c>
      <c r="AI101" s="48">
        <f t="shared" si="13"/>
        <v>49.85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2"/>
        <v>0</v>
      </c>
      <c r="AI102" s="48">
        <f t="shared" si="13"/>
        <v>0</v>
      </c>
    </row>
    <row r="103" spans="1:37" x14ac:dyDescent="0.25">
      <c r="A103" s="102" t="s">
        <v>111</v>
      </c>
      <c r="B103" s="64">
        <v>128.80000000000001</v>
      </c>
      <c r="C103" s="64">
        <v>128.9</v>
      </c>
      <c r="D103" s="64">
        <v>128.6</v>
      </c>
      <c r="E103" s="64">
        <v>129.6</v>
      </c>
      <c r="F103" s="64">
        <v>129</v>
      </c>
      <c r="G103" s="64">
        <v>129.19999999999999</v>
      </c>
      <c r="H103" s="64">
        <v>127.7</v>
      </c>
      <c r="I103" s="64">
        <v>128.5</v>
      </c>
      <c r="J103" s="64">
        <v>125.6</v>
      </c>
      <c r="K103" s="64">
        <v>127.1</v>
      </c>
      <c r="L103" s="64">
        <v>126.1</v>
      </c>
      <c r="M103" s="64">
        <v>126.1</v>
      </c>
      <c r="N103" s="64">
        <v>125.9</v>
      </c>
      <c r="O103" s="64">
        <v>126.6</v>
      </c>
      <c r="P103" s="64">
        <v>125.6</v>
      </c>
      <c r="Q103" s="64">
        <v>126</v>
      </c>
      <c r="R103" s="64">
        <v>126</v>
      </c>
      <c r="S103" s="64">
        <v>128</v>
      </c>
      <c r="T103" s="64">
        <v>128.6</v>
      </c>
      <c r="U103" s="64">
        <v>128.30000000000001</v>
      </c>
      <c r="V103" s="64">
        <v>129</v>
      </c>
      <c r="W103" s="64">
        <v>128.4</v>
      </c>
      <c r="X103" s="64">
        <v>128.4</v>
      </c>
      <c r="Y103" s="64">
        <v>128.19999999999999</v>
      </c>
      <c r="Z103" s="64">
        <v>128.80000000000001</v>
      </c>
      <c r="AA103" s="64">
        <v>128.30000000000001</v>
      </c>
      <c r="AB103" s="64">
        <v>128.19999999999999</v>
      </c>
      <c r="AC103" s="64">
        <v>128.19999999999999</v>
      </c>
      <c r="AD103" s="64">
        <v>128.6</v>
      </c>
      <c r="AE103" s="64">
        <v>129.4</v>
      </c>
      <c r="AF103" s="64">
        <v>127.9</v>
      </c>
      <c r="AG103" s="103"/>
      <c r="AH103" s="47">
        <f t="shared" si="12"/>
        <v>129.6</v>
      </c>
      <c r="AI103" s="48">
        <f t="shared" si="13"/>
        <v>125.6</v>
      </c>
    </row>
    <row r="104" spans="1:37" x14ac:dyDescent="0.25">
      <c r="A104" s="102" t="s">
        <v>112</v>
      </c>
      <c r="B104" s="64">
        <v>128.4</v>
      </c>
      <c r="C104" s="64">
        <v>128.30000000000001</v>
      </c>
      <c r="D104" s="64">
        <v>128.5</v>
      </c>
      <c r="E104" s="64">
        <v>128.80000000000001</v>
      </c>
      <c r="F104" s="64">
        <v>129.9</v>
      </c>
      <c r="G104" s="64">
        <v>130.19999999999999</v>
      </c>
      <c r="H104" s="64">
        <v>130</v>
      </c>
      <c r="I104" s="64">
        <v>129.4</v>
      </c>
      <c r="J104" s="64">
        <v>127.6</v>
      </c>
      <c r="K104" s="64">
        <v>127.3</v>
      </c>
      <c r="L104" s="64">
        <v>126.8</v>
      </c>
      <c r="M104" s="64">
        <v>126.8</v>
      </c>
      <c r="N104" s="64">
        <v>125.7</v>
      </c>
      <c r="O104" s="64">
        <v>124.8</v>
      </c>
      <c r="P104" s="64">
        <v>121.9</v>
      </c>
      <c r="Q104" s="64">
        <v>125.8</v>
      </c>
      <c r="R104" s="64">
        <v>125.8</v>
      </c>
      <c r="S104" s="64">
        <v>125.8</v>
      </c>
      <c r="T104" s="64">
        <v>128.19999999999999</v>
      </c>
      <c r="U104" s="64">
        <v>125.1</v>
      </c>
      <c r="V104" s="64">
        <v>130</v>
      </c>
      <c r="W104" s="64">
        <v>128.5</v>
      </c>
      <c r="X104" s="64">
        <v>126.2</v>
      </c>
      <c r="Y104" s="64">
        <v>129.80000000000001</v>
      </c>
      <c r="Z104" s="64">
        <v>124.7</v>
      </c>
      <c r="AA104" s="64">
        <v>122</v>
      </c>
      <c r="AB104" s="64">
        <v>124.4</v>
      </c>
      <c r="AC104" s="64">
        <v>124.4</v>
      </c>
      <c r="AD104" s="64">
        <v>123.8</v>
      </c>
      <c r="AE104" s="64">
        <v>125.7</v>
      </c>
      <c r="AF104" s="64">
        <v>129.69999999999999</v>
      </c>
      <c r="AG104" s="103"/>
      <c r="AH104" s="47">
        <f t="shared" si="12"/>
        <v>130.19999999999999</v>
      </c>
      <c r="AI104" s="48">
        <f t="shared" si="13"/>
        <v>121.9</v>
      </c>
    </row>
    <row r="105" spans="1:37" x14ac:dyDescent="0.25">
      <c r="A105" s="104" t="s">
        <v>113</v>
      </c>
      <c r="B105" s="64">
        <v>132.69999999999999</v>
      </c>
      <c r="C105" s="64">
        <v>132.5</v>
      </c>
      <c r="D105" s="64">
        <v>132.30000000000001</v>
      </c>
      <c r="E105" s="64">
        <v>133.1</v>
      </c>
      <c r="F105" s="64">
        <v>133.9</v>
      </c>
      <c r="G105" s="64">
        <v>134.1</v>
      </c>
      <c r="H105" s="64">
        <v>134.1</v>
      </c>
      <c r="I105" s="64">
        <v>133.19999999999999</v>
      </c>
      <c r="J105" s="64">
        <v>131.1</v>
      </c>
      <c r="K105" s="64">
        <v>129.9</v>
      </c>
      <c r="L105" s="64">
        <v>127.6</v>
      </c>
      <c r="M105" s="64">
        <v>127.6</v>
      </c>
      <c r="N105" s="64">
        <v>128.19999999999999</v>
      </c>
      <c r="O105" s="64">
        <v>127</v>
      </c>
      <c r="P105" s="64">
        <v>125.4</v>
      </c>
      <c r="Q105" s="64">
        <v>129.4</v>
      </c>
      <c r="R105" s="64">
        <v>129.4</v>
      </c>
      <c r="S105" s="64">
        <v>129.4</v>
      </c>
      <c r="T105" s="64"/>
      <c r="U105" s="64">
        <v>126.2</v>
      </c>
      <c r="V105" s="64">
        <v>131.30000000000001</v>
      </c>
      <c r="W105" s="64">
        <v>130.19999999999999</v>
      </c>
      <c r="X105" s="64">
        <v>125.5</v>
      </c>
      <c r="Y105" s="64">
        <v>130.1</v>
      </c>
      <c r="Z105" s="64">
        <v>125.6</v>
      </c>
      <c r="AA105" s="64">
        <v>124.2</v>
      </c>
      <c r="AB105" s="64">
        <v>126.7</v>
      </c>
      <c r="AC105" s="64">
        <v>126.7</v>
      </c>
      <c r="AD105" s="64">
        <v>127.4</v>
      </c>
      <c r="AE105" s="64">
        <v>129</v>
      </c>
      <c r="AF105" s="64">
        <v>133.4</v>
      </c>
      <c r="AG105" s="103"/>
      <c r="AH105" s="47">
        <f t="shared" si="12"/>
        <v>134.1</v>
      </c>
      <c r="AI105" s="48">
        <f t="shared" si="13"/>
        <v>124.2</v>
      </c>
    </row>
    <row r="106" spans="1:37" x14ac:dyDescent="0.25">
      <c r="A106" s="104" t="s">
        <v>114</v>
      </c>
      <c r="B106" s="105">
        <v>134.6</v>
      </c>
      <c r="C106" s="105">
        <v>134.5</v>
      </c>
      <c r="D106" s="105">
        <v>130.69999999999999</v>
      </c>
      <c r="E106" s="105">
        <v>131.19999999999999</v>
      </c>
      <c r="F106" s="105">
        <v>132.1</v>
      </c>
      <c r="G106" s="105">
        <v>132.5</v>
      </c>
      <c r="H106" s="105">
        <v>133.30000000000001</v>
      </c>
      <c r="I106" s="105">
        <v>134.5</v>
      </c>
      <c r="J106" s="105">
        <v>130.5</v>
      </c>
      <c r="K106" s="105">
        <v>133.5</v>
      </c>
      <c r="L106" s="105">
        <v>131.9</v>
      </c>
      <c r="M106" s="105">
        <v>131.9</v>
      </c>
      <c r="N106" s="105">
        <v>131</v>
      </c>
      <c r="O106" s="105">
        <v>134.4</v>
      </c>
      <c r="P106" s="105">
        <v>131.30000000000001</v>
      </c>
      <c r="Q106" s="105">
        <v>132.5</v>
      </c>
      <c r="R106" s="105">
        <v>132.5</v>
      </c>
      <c r="S106" s="105">
        <v>132.5</v>
      </c>
      <c r="T106" s="105">
        <v>133.4</v>
      </c>
      <c r="U106" s="105">
        <v>132</v>
      </c>
      <c r="V106" s="105">
        <v>134.1</v>
      </c>
      <c r="W106" s="105">
        <v>132.5</v>
      </c>
      <c r="X106" s="105">
        <v>133</v>
      </c>
      <c r="Y106" s="105">
        <v>133.6</v>
      </c>
      <c r="Z106" s="105">
        <v>133.69999999999999</v>
      </c>
      <c r="AA106" s="105">
        <v>132.4</v>
      </c>
      <c r="AB106" s="105">
        <v>133</v>
      </c>
      <c r="AC106" s="105">
        <v>133</v>
      </c>
      <c r="AD106" s="105">
        <v>134.80000000000001</v>
      </c>
      <c r="AE106" s="105">
        <v>132.6</v>
      </c>
      <c r="AF106" s="105">
        <v>132</v>
      </c>
      <c r="AG106" s="106"/>
      <c r="AH106" s="47">
        <f t="shared" si="12"/>
        <v>134.80000000000001</v>
      </c>
      <c r="AI106" s="48">
        <f t="shared" si="13"/>
        <v>130.5</v>
      </c>
    </row>
    <row r="107" spans="1:37" x14ac:dyDescent="0.25">
      <c r="A107" s="102" t="s">
        <v>115</v>
      </c>
      <c r="B107" s="64">
        <v>137</v>
      </c>
      <c r="C107" s="64">
        <v>137.5</v>
      </c>
      <c r="D107" s="64">
        <v>130</v>
      </c>
      <c r="E107" s="64">
        <v>131.9</v>
      </c>
      <c r="F107" s="64">
        <v>134.1</v>
      </c>
      <c r="G107" s="64">
        <v>133.19999999999999</v>
      </c>
      <c r="H107" s="64">
        <v>136.30000000000001</v>
      </c>
      <c r="I107" s="64">
        <v>135</v>
      </c>
      <c r="J107" s="64">
        <v>128.69999999999999</v>
      </c>
      <c r="K107" s="64">
        <v>132.4</v>
      </c>
      <c r="L107" s="64">
        <v>129</v>
      </c>
      <c r="M107" s="64">
        <v>129</v>
      </c>
      <c r="N107" s="64">
        <v>130.30000000000001</v>
      </c>
      <c r="O107" s="64">
        <v>128.5</v>
      </c>
      <c r="P107" s="64">
        <v>127.4</v>
      </c>
      <c r="Q107" s="64">
        <v>128</v>
      </c>
      <c r="R107" s="64">
        <v>128</v>
      </c>
      <c r="S107" s="64">
        <v>128</v>
      </c>
      <c r="T107" s="64"/>
      <c r="U107" s="64">
        <v>133.80000000000001</v>
      </c>
      <c r="V107" s="64">
        <v>133.6</v>
      </c>
      <c r="W107" s="64">
        <v>134.80000000000001</v>
      </c>
      <c r="X107" s="64">
        <v>130</v>
      </c>
      <c r="Y107" s="64">
        <v>131.19999999999999</v>
      </c>
      <c r="Z107" s="64">
        <v>129.1</v>
      </c>
      <c r="AA107" s="64">
        <v>133</v>
      </c>
      <c r="AB107" s="64">
        <v>131.19999999999999</v>
      </c>
      <c r="AC107" s="64">
        <v>131.19999999999999</v>
      </c>
      <c r="AD107" s="64">
        <v>128.9</v>
      </c>
      <c r="AE107" s="64">
        <v>132.4</v>
      </c>
      <c r="AF107" s="64">
        <v>131.4</v>
      </c>
      <c r="AG107" s="103"/>
      <c r="AH107" s="47">
        <f t="shared" si="12"/>
        <v>137.5</v>
      </c>
      <c r="AI107" s="48">
        <f t="shared" si="13"/>
        <v>127.4</v>
      </c>
    </row>
    <row r="108" spans="1:37" ht="15.75" thickBot="1" x14ac:dyDescent="0.3">
      <c r="A108" s="102" t="s">
        <v>116</v>
      </c>
      <c r="B108" s="91">
        <v>65</v>
      </c>
      <c r="C108" s="91">
        <v>65.099999999999994</v>
      </c>
      <c r="D108" s="91">
        <v>65</v>
      </c>
      <c r="E108" s="91">
        <v>65.5</v>
      </c>
      <c r="F108" s="91">
        <v>65.099999999999994</v>
      </c>
      <c r="G108" s="91">
        <v>65.3</v>
      </c>
      <c r="H108" s="91">
        <v>64.599999999999994</v>
      </c>
      <c r="I108" s="91">
        <v>65</v>
      </c>
      <c r="J108" s="91">
        <v>63.3</v>
      </c>
      <c r="K108" s="91">
        <v>64.3</v>
      </c>
      <c r="L108" s="91">
        <v>64.099999999999994</v>
      </c>
      <c r="M108" s="91">
        <v>64.099999999999994</v>
      </c>
      <c r="N108" s="91">
        <v>63.6</v>
      </c>
      <c r="O108" s="91">
        <v>63.5</v>
      </c>
      <c r="P108" s="91">
        <v>63.1</v>
      </c>
      <c r="Q108" s="91">
        <v>63.5</v>
      </c>
      <c r="R108" s="91">
        <v>63.5</v>
      </c>
      <c r="S108" s="91">
        <v>63.5</v>
      </c>
      <c r="T108" s="91">
        <v>64.599999999999994</v>
      </c>
      <c r="U108" s="91">
        <v>64.7</v>
      </c>
      <c r="V108" s="91">
        <v>65</v>
      </c>
      <c r="W108" s="91">
        <v>64.599999999999994</v>
      </c>
      <c r="X108" s="91">
        <v>64.599999999999994</v>
      </c>
      <c r="Y108" s="91">
        <v>64.900000000000006</v>
      </c>
      <c r="Z108" s="91">
        <v>65.2</v>
      </c>
      <c r="AA108" s="91">
        <v>65.2</v>
      </c>
      <c r="AB108" s="91">
        <v>64.7</v>
      </c>
      <c r="AC108" s="91">
        <v>64.7</v>
      </c>
      <c r="AD108" s="91">
        <v>64.900000000000006</v>
      </c>
      <c r="AE108" s="91">
        <v>65.5</v>
      </c>
      <c r="AF108" s="91">
        <v>64.599999999999994</v>
      </c>
      <c r="AG108" s="107"/>
      <c r="AH108" s="47">
        <f t="shared" si="12"/>
        <v>65.5</v>
      </c>
      <c r="AI108" s="48">
        <f t="shared" si="13"/>
        <v>63.1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2"/>
        <v>0</v>
      </c>
      <c r="AI109" s="48">
        <f t="shared" si="13"/>
        <v>0</v>
      </c>
    </row>
    <row r="110" spans="1:37" ht="15.75" thickBot="1" x14ac:dyDescent="0.3">
      <c r="A110" s="109" t="s">
        <v>118</v>
      </c>
      <c r="B110" s="110">
        <f t="shared" ref="B110:O110" si="26">SUM(B20,B26,B29:B30,B58,B60:B61,B63,B65,B111:B115,B138,B144,B150,B159,B161,B173,B180,B183:B184,B191,B193,B195,B199:B201,B203:B205,B210,B216:B217,B219:B221,B229,B234)</f>
        <v>53.800000000000011</v>
      </c>
      <c r="C110" s="110">
        <f t="shared" si="26"/>
        <v>49.240000000000009</v>
      </c>
      <c r="D110" s="110">
        <f t="shared" si="26"/>
        <v>385.54</v>
      </c>
      <c r="E110" s="110">
        <f t="shared" si="26"/>
        <v>39.939999999999984</v>
      </c>
      <c r="F110" s="110">
        <f t="shared" si="26"/>
        <v>43.44</v>
      </c>
      <c r="G110" s="110">
        <f t="shared" si="26"/>
        <v>47.239999999999995</v>
      </c>
      <c r="H110" s="110">
        <f t="shared" si="26"/>
        <v>85.84</v>
      </c>
      <c r="I110" s="110">
        <f t="shared" si="26"/>
        <v>122.43999999999998</v>
      </c>
      <c r="J110" s="110">
        <f t="shared" si="26"/>
        <v>150.94</v>
      </c>
      <c r="K110" s="110">
        <f t="shared" si="26"/>
        <v>180.73999999999998</v>
      </c>
      <c r="L110" s="110">
        <f t="shared" si="26"/>
        <v>228.83999999999997</v>
      </c>
      <c r="M110" s="110">
        <f t="shared" si="26"/>
        <v>229.82999999999998</v>
      </c>
      <c r="N110" s="110">
        <f t="shared" si="26"/>
        <v>244.98599999999996</v>
      </c>
      <c r="O110" s="110">
        <f t="shared" si="26"/>
        <v>232.14999999999995</v>
      </c>
      <c r="P110" s="110">
        <v>42</v>
      </c>
      <c r="Q110" s="110">
        <f t="shared" ref="Q110:AC110" si="27">SUM(Q20,Q26,Q29:Q30,Q58,Q60:Q61,Q63,Q65,Q111:Q115,Q138,Q144,Q150,Q159,Q161,Q173,Q180,Q183:Q184,Q191,Q193,Q195,Q199:Q201,Q203:Q205,Q210,Q216:Q217,Q219:Q221,Q229,Q234)</f>
        <v>217</v>
      </c>
      <c r="R110" s="110">
        <f t="shared" si="27"/>
        <v>222</v>
      </c>
      <c r="S110" s="110">
        <f t="shared" si="27"/>
        <v>231.10000000000002</v>
      </c>
      <c r="T110" s="110">
        <f t="shared" si="27"/>
        <v>204.19999999999996</v>
      </c>
      <c r="U110" s="110">
        <f t="shared" si="27"/>
        <v>171.5</v>
      </c>
      <c r="V110" s="110">
        <f t="shared" si="27"/>
        <v>182.89999999999998</v>
      </c>
      <c r="W110" s="110">
        <f t="shared" si="27"/>
        <v>185.79999999999998</v>
      </c>
      <c r="X110" s="110">
        <f t="shared" si="27"/>
        <v>193.8</v>
      </c>
      <c r="Y110" s="110">
        <f t="shared" si="27"/>
        <v>257.10000000000002</v>
      </c>
      <c r="Z110" s="110">
        <f t="shared" si="27"/>
        <v>252.69999999999996</v>
      </c>
      <c r="AA110" s="110">
        <f t="shared" si="27"/>
        <v>217.39999999999998</v>
      </c>
      <c r="AB110" s="110">
        <f t="shared" si="27"/>
        <v>204.9</v>
      </c>
      <c r="AC110" s="110">
        <f t="shared" si="27"/>
        <v>204.9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133.89999999999998</v>
      </c>
      <c r="AF110" s="110">
        <f>SUM(AF20,AF26,AF29:AF30,AF58,AF60:AF61,AF63,AF65,AF111:AF115,AF138,AF144,AF150,AF159,AF161,AF173,AF180,AF183:AF184,AF191,AF193,AF195,AF199:AF201,AF203:AF205,AF210,AF216:AF217,AF219:AF221,AF229,AF234)</f>
        <v>96.6</v>
      </c>
      <c r="AG110" s="111"/>
      <c r="AH110" s="47">
        <f t="shared" si="12"/>
        <v>385.54</v>
      </c>
      <c r="AI110" s="48">
        <f t="shared" si="13"/>
        <v>39.939999999999984</v>
      </c>
    </row>
    <row r="111" spans="1:37" x14ac:dyDescent="0.25">
      <c r="A111" s="99" t="s">
        <v>119</v>
      </c>
      <c r="B111" s="112">
        <v>28.5</v>
      </c>
      <c r="C111" s="112">
        <v>27.9</v>
      </c>
      <c r="D111" s="112">
        <v>24.9</v>
      </c>
      <c r="E111" s="112">
        <v>21.1</v>
      </c>
      <c r="F111" s="112">
        <v>25.8</v>
      </c>
      <c r="G111" s="112">
        <v>28</v>
      </c>
      <c r="H111" s="112">
        <v>40.6</v>
      </c>
      <c r="I111" s="112">
        <v>40.200000000000003</v>
      </c>
      <c r="J111" s="112">
        <v>43.7</v>
      </c>
      <c r="K111" s="112">
        <v>47.3</v>
      </c>
      <c r="L111" s="112">
        <v>49.8</v>
      </c>
      <c r="M111" s="112">
        <v>49.8</v>
      </c>
      <c r="N111" s="112">
        <v>49.945999999999998</v>
      </c>
      <c r="O111" s="112">
        <v>43.6</v>
      </c>
      <c r="P111" s="112">
        <v>45.6</v>
      </c>
      <c r="Q111" s="112">
        <v>42.9</v>
      </c>
      <c r="R111" s="112">
        <v>42.9</v>
      </c>
      <c r="S111" s="112">
        <v>46.4</v>
      </c>
      <c r="T111" s="112">
        <v>39.799999999999997</v>
      </c>
      <c r="U111" s="112">
        <v>40.1</v>
      </c>
      <c r="V111" s="112">
        <v>44.5</v>
      </c>
      <c r="W111" s="112">
        <v>52</v>
      </c>
      <c r="X111" s="112">
        <v>47.8</v>
      </c>
      <c r="Y111" s="112">
        <v>51.6</v>
      </c>
      <c r="Z111" s="112">
        <v>55.4</v>
      </c>
      <c r="AA111" s="112">
        <v>55.8</v>
      </c>
      <c r="AB111" s="112">
        <v>52.7</v>
      </c>
      <c r="AC111" s="112">
        <v>52.7</v>
      </c>
      <c r="AD111" s="112">
        <v>49.6</v>
      </c>
      <c r="AE111" s="112">
        <v>39.299999999999997</v>
      </c>
      <c r="AF111" s="112">
        <v>30.9</v>
      </c>
      <c r="AG111" s="113">
        <v>75</v>
      </c>
      <c r="AH111" s="47">
        <f t="shared" si="12"/>
        <v>55.8</v>
      </c>
      <c r="AI111" s="48">
        <f t="shared" si="13"/>
        <v>21.1</v>
      </c>
    </row>
    <row r="112" spans="1:37" x14ac:dyDescent="0.25">
      <c r="A112" s="102" t="s">
        <v>120</v>
      </c>
      <c r="B112" s="114">
        <v>45.2</v>
      </c>
      <c r="C112" s="114">
        <v>45.3</v>
      </c>
      <c r="D112" s="114">
        <v>40.299999999999997</v>
      </c>
      <c r="E112" s="114">
        <v>34.6</v>
      </c>
      <c r="F112" s="114">
        <v>42.2</v>
      </c>
      <c r="G112" s="114">
        <v>45.8</v>
      </c>
      <c r="H112" s="114">
        <v>64.5</v>
      </c>
      <c r="I112" s="114">
        <v>62.4</v>
      </c>
      <c r="J112" s="114">
        <v>66</v>
      </c>
      <c r="K112" s="114">
        <v>71.2</v>
      </c>
      <c r="L112" s="114">
        <v>73.900000000000006</v>
      </c>
      <c r="M112" s="114">
        <v>73.900000000000006</v>
      </c>
      <c r="N112" s="114">
        <v>71</v>
      </c>
      <c r="O112" s="114">
        <v>65.599999999999994</v>
      </c>
      <c r="P112" s="114">
        <v>68.7</v>
      </c>
      <c r="Q112" s="114">
        <v>65.599999999999994</v>
      </c>
      <c r="R112" s="114">
        <v>65.599999999999994</v>
      </c>
      <c r="S112" s="114">
        <v>65.5</v>
      </c>
      <c r="T112" s="114">
        <v>60.7</v>
      </c>
      <c r="U112" s="114">
        <v>61.9</v>
      </c>
      <c r="V112" s="114">
        <v>66.8</v>
      </c>
      <c r="W112" s="114">
        <v>73.8</v>
      </c>
      <c r="X112" s="114">
        <v>68.3</v>
      </c>
      <c r="Y112" s="114">
        <v>71.599999999999994</v>
      </c>
      <c r="Z112" s="114">
        <v>77.7</v>
      </c>
      <c r="AA112" s="114">
        <v>79.3</v>
      </c>
      <c r="AB112" s="114">
        <v>74.7</v>
      </c>
      <c r="AC112" s="114">
        <v>74.7</v>
      </c>
      <c r="AD112" s="114">
        <v>73</v>
      </c>
      <c r="AE112" s="114">
        <v>56</v>
      </c>
      <c r="AF112" s="114">
        <v>50</v>
      </c>
      <c r="AG112" s="113">
        <v>240</v>
      </c>
      <c r="AH112" s="47">
        <f t="shared" si="12"/>
        <v>79.3</v>
      </c>
      <c r="AI112" s="48">
        <f t="shared" si="13"/>
        <v>34.6</v>
      </c>
    </row>
    <row r="113" spans="1:37" x14ac:dyDescent="0.25">
      <c r="A113" s="102" t="s">
        <v>121</v>
      </c>
      <c r="B113" s="114">
        <v>-173</v>
      </c>
      <c r="C113" s="114">
        <v>-177</v>
      </c>
      <c r="D113" s="114">
        <v>174</v>
      </c>
      <c r="E113" s="114">
        <f>-81.1-84.9</f>
        <v>-166</v>
      </c>
      <c r="F113" s="114">
        <f>-85.2-89.3</f>
        <v>-174.5</v>
      </c>
      <c r="G113" s="114">
        <f>-86.7-90.1</f>
        <v>-176.8</v>
      </c>
      <c r="H113" s="114">
        <f>-60.5-64</f>
        <v>-124.5</v>
      </c>
      <c r="I113" s="114">
        <f>-70.5-74.1</f>
        <v>-144.6</v>
      </c>
      <c r="J113" s="114">
        <f>-61.7-66.7</f>
        <v>-128.4</v>
      </c>
      <c r="K113" s="114">
        <f>-58.8-66.3</f>
        <v>-125.1</v>
      </c>
      <c r="L113" s="114">
        <v>-98</v>
      </c>
      <c r="M113" s="114">
        <v>-98</v>
      </c>
      <c r="N113" s="114">
        <v>-100</v>
      </c>
      <c r="O113" s="114">
        <v>-105</v>
      </c>
      <c r="P113" s="114">
        <v>-100</v>
      </c>
      <c r="Q113" s="114">
        <f>-51.9-60.3</f>
        <v>-112.19999999999999</v>
      </c>
      <c r="R113" s="114">
        <f>-51.9-60.3</f>
        <v>-112.19999999999999</v>
      </c>
      <c r="S113" s="114">
        <v>-103</v>
      </c>
      <c r="T113" s="114">
        <v>-123</v>
      </c>
      <c r="U113" s="114">
        <v>-141</v>
      </c>
      <c r="V113" s="114">
        <v>-127</v>
      </c>
      <c r="W113" s="114">
        <v>-136.9</v>
      </c>
      <c r="X113" s="114">
        <v>-135</v>
      </c>
      <c r="Y113" s="114">
        <v>-90</v>
      </c>
      <c r="Z113" s="114">
        <v>-99.8</v>
      </c>
      <c r="AA113" s="114">
        <v>-134.5</v>
      </c>
      <c r="AB113" s="114">
        <v>-121</v>
      </c>
      <c r="AC113" s="114">
        <v>-121</v>
      </c>
      <c r="AD113" s="114">
        <v>-145</v>
      </c>
      <c r="AE113" s="114">
        <v>-150</v>
      </c>
      <c r="AF113" s="114">
        <v>-155</v>
      </c>
      <c r="AG113" s="113">
        <v>240</v>
      </c>
      <c r="AH113" s="47">
        <f t="shared" si="12"/>
        <v>174</v>
      </c>
      <c r="AI113" s="48">
        <f t="shared" si="13"/>
        <v>-177</v>
      </c>
    </row>
    <row r="114" spans="1:37" x14ac:dyDescent="0.25">
      <c r="A114" s="102" t="s">
        <v>122</v>
      </c>
      <c r="B114" s="114">
        <v>-15</v>
      </c>
      <c r="C114" s="114">
        <v>-16</v>
      </c>
      <c r="D114" s="114">
        <v>-17.399999999999999</v>
      </c>
      <c r="E114" s="114">
        <v>-18.2</v>
      </c>
      <c r="F114" s="114">
        <v>-18.5</v>
      </c>
      <c r="G114" s="114">
        <v>-18.2</v>
      </c>
      <c r="H114" s="114">
        <v>-13.1</v>
      </c>
      <c r="I114" s="114">
        <v>-8.8000000000000007</v>
      </c>
      <c r="J114" s="114">
        <v>-8.4</v>
      </c>
      <c r="K114" s="114">
        <v>2.2000000000000002</v>
      </c>
      <c r="L114" s="114">
        <v>16</v>
      </c>
      <c r="M114" s="114">
        <v>16</v>
      </c>
      <c r="N114" s="114">
        <v>28.1</v>
      </c>
      <c r="O114" s="114">
        <v>28.9</v>
      </c>
      <c r="P114" s="114">
        <v>34.200000000000003</v>
      </c>
      <c r="Q114" s="114">
        <v>26.2</v>
      </c>
      <c r="R114" s="114">
        <v>26.2</v>
      </c>
      <c r="S114" s="114">
        <v>26</v>
      </c>
      <c r="T114" s="114">
        <v>34.4</v>
      </c>
      <c r="U114" s="114">
        <v>29.8</v>
      </c>
      <c r="V114" s="114">
        <v>20.3</v>
      </c>
      <c r="W114" s="114">
        <v>21.3</v>
      </c>
      <c r="X114" s="114">
        <v>39</v>
      </c>
      <c r="Y114" s="114">
        <v>39.6</v>
      </c>
      <c r="Z114" s="114">
        <v>35.1</v>
      </c>
      <c r="AA114" s="114">
        <v>32.5</v>
      </c>
      <c r="AB114" s="114">
        <v>13.9</v>
      </c>
      <c r="AC114" s="114">
        <v>13.9</v>
      </c>
      <c r="AD114" s="114">
        <v>6.6</v>
      </c>
      <c r="AE114" s="114">
        <v>4</v>
      </c>
      <c r="AF114" s="114">
        <v>-13.9</v>
      </c>
      <c r="AG114" s="113">
        <v>60</v>
      </c>
      <c r="AH114" s="47">
        <f t="shared" si="12"/>
        <v>39.6</v>
      </c>
      <c r="AI114" s="48">
        <f t="shared" si="13"/>
        <v>-18.5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2"/>
        <v>0</v>
      </c>
      <c r="AI115" s="48">
        <f t="shared" si="13"/>
        <v>0</v>
      </c>
    </row>
    <row r="116" spans="1:37" x14ac:dyDescent="0.25">
      <c r="A116" s="115" t="s">
        <v>124</v>
      </c>
      <c r="B116" s="116">
        <v>46</v>
      </c>
      <c r="C116" s="116">
        <v>23.2</v>
      </c>
      <c r="D116" s="116">
        <v>32</v>
      </c>
      <c r="E116" s="116">
        <v>28.4</v>
      </c>
      <c r="F116" s="116">
        <v>29.8</v>
      </c>
      <c r="G116" s="116">
        <v>16.899999999999999</v>
      </c>
      <c r="H116" s="116">
        <v>66.400000000000006</v>
      </c>
      <c r="I116" s="116">
        <v>19.899999999999999</v>
      </c>
      <c r="J116" s="116">
        <v>58.4</v>
      </c>
      <c r="K116" s="116">
        <v>42.9</v>
      </c>
      <c r="L116" s="116">
        <v>73</v>
      </c>
      <c r="M116" s="116">
        <v>73</v>
      </c>
      <c r="N116" s="116">
        <v>62.6</v>
      </c>
      <c r="O116" s="116">
        <v>55.3</v>
      </c>
      <c r="P116" s="116">
        <v>72</v>
      </c>
      <c r="Q116" s="116">
        <v>62.1</v>
      </c>
      <c r="R116" s="116">
        <v>62.1</v>
      </c>
      <c r="S116" s="116">
        <v>62.1</v>
      </c>
      <c r="T116" s="116">
        <v>50.4</v>
      </c>
      <c r="U116" s="116">
        <v>20.399999999999999</v>
      </c>
      <c r="V116" s="116">
        <v>16.7</v>
      </c>
      <c r="W116" s="116">
        <v>-2.1</v>
      </c>
      <c r="X116" s="116">
        <v>28.5</v>
      </c>
      <c r="Y116" s="116">
        <v>82.8</v>
      </c>
      <c r="Z116" s="116">
        <v>47.1</v>
      </c>
      <c r="AA116" s="116">
        <v>27.2</v>
      </c>
      <c r="AB116" s="116">
        <v>40.6</v>
      </c>
      <c r="AC116" s="116">
        <v>40.6</v>
      </c>
      <c r="AD116" s="116">
        <v>-5.3</v>
      </c>
      <c r="AE116" s="116">
        <v>10.5</v>
      </c>
      <c r="AF116" s="116">
        <v>61.1</v>
      </c>
      <c r="AG116" s="117"/>
      <c r="AH116" s="47">
        <f t="shared" si="12"/>
        <v>82.8</v>
      </c>
      <c r="AI116" s="48">
        <f t="shared" si="13"/>
        <v>-5.3</v>
      </c>
    </row>
    <row r="117" spans="1:37" x14ac:dyDescent="0.25">
      <c r="A117" s="115" t="s">
        <v>125</v>
      </c>
      <c r="B117" s="116">
        <v>-4</v>
      </c>
      <c r="C117" s="116">
        <v>-2</v>
      </c>
      <c r="D117" s="116">
        <v>-7.5</v>
      </c>
      <c r="E117" s="116">
        <v>2.5</v>
      </c>
      <c r="F117" s="116">
        <v>-1.8</v>
      </c>
      <c r="G117" s="116">
        <v>-6.3</v>
      </c>
      <c r="H117" s="116">
        <v>-4.5999999999999996</v>
      </c>
      <c r="I117" s="116">
        <v>-10.9</v>
      </c>
      <c r="J117" s="116">
        <v>-13.4</v>
      </c>
      <c r="K117" s="116">
        <v>-20.9</v>
      </c>
      <c r="L117" s="116">
        <v>-22</v>
      </c>
      <c r="M117" s="116">
        <v>-22</v>
      </c>
      <c r="N117" s="116">
        <v>-18.8</v>
      </c>
      <c r="O117" s="116">
        <v>-12.1</v>
      </c>
      <c r="P117" s="116">
        <v>-15.8</v>
      </c>
      <c r="Q117" s="116">
        <v>-12.9</v>
      </c>
      <c r="R117" s="116">
        <v>-12.9</v>
      </c>
      <c r="S117" s="116">
        <v>-12.2</v>
      </c>
      <c r="T117" s="116">
        <v>-10.7</v>
      </c>
      <c r="U117" s="116">
        <v>-15.3</v>
      </c>
      <c r="V117" s="116">
        <v>-16.3</v>
      </c>
      <c r="W117" s="116">
        <v>-22.4</v>
      </c>
      <c r="X117" s="116">
        <v>-16.8</v>
      </c>
      <c r="Y117" s="116">
        <v>-19.899999999999999</v>
      </c>
      <c r="Z117" s="116">
        <v>-26.78</v>
      </c>
      <c r="AA117" s="116">
        <v>-29.5</v>
      </c>
      <c r="AB117" s="116">
        <v>-26.3</v>
      </c>
      <c r="AC117" s="116">
        <v>-26.3</v>
      </c>
      <c r="AD117" s="116">
        <v>-23.7</v>
      </c>
      <c r="AE117" s="116">
        <v>-9.5</v>
      </c>
      <c r="AF117" s="116">
        <v>-4.8</v>
      </c>
      <c r="AG117" s="118"/>
      <c r="AH117" s="47">
        <f t="shared" si="12"/>
        <v>2.5</v>
      </c>
      <c r="AI117" s="48">
        <f t="shared" si="13"/>
        <v>-29.5</v>
      </c>
    </row>
    <row r="118" spans="1:37" x14ac:dyDescent="0.25">
      <c r="A118" s="119" t="s">
        <v>126</v>
      </c>
      <c r="B118" s="105">
        <v>52</v>
      </c>
      <c r="C118" s="105">
        <v>53.2</v>
      </c>
      <c r="D118" s="105">
        <v>58</v>
      </c>
      <c r="E118" s="105">
        <v>59.6</v>
      </c>
      <c r="F118" s="105">
        <v>61.8</v>
      </c>
      <c r="G118" s="105">
        <v>63.8</v>
      </c>
      <c r="H118" s="105">
        <v>64.8</v>
      </c>
      <c r="I118" s="105">
        <v>64.5</v>
      </c>
      <c r="J118" s="105">
        <v>62.1</v>
      </c>
      <c r="K118" s="105">
        <v>57.2</v>
      </c>
      <c r="L118" s="105">
        <v>25</v>
      </c>
      <c r="M118" s="105">
        <v>25</v>
      </c>
      <c r="N118" s="105">
        <v>47.3</v>
      </c>
      <c r="O118" s="105">
        <v>42</v>
      </c>
      <c r="P118" s="105">
        <v>19.600000000000001</v>
      </c>
      <c r="Q118" s="105">
        <v>32.1</v>
      </c>
      <c r="R118" s="105">
        <v>32.1</v>
      </c>
      <c r="S118" s="105">
        <v>69.900000000000006</v>
      </c>
      <c r="T118" s="105">
        <v>29</v>
      </c>
      <c r="U118" s="105">
        <v>30.5</v>
      </c>
      <c r="V118" s="105">
        <v>28.2</v>
      </c>
      <c r="W118" s="105">
        <v>34.6</v>
      </c>
      <c r="X118" s="105">
        <v>23.2</v>
      </c>
      <c r="Y118" s="105">
        <v>17.8</v>
      </c>
      <c r="Z118" s="105">
        <v>19.399999999999999</v>
      </c>
      <c r="AA118" s="105">
        <v>23.6</v>
      </c>
      <c r="AB118" s="105">
        <v>25</v>
      </c>
      <c r="AC118" s="105">
        <v>25</v>
      </c>
      <c r="AD118" s="105">
        <v>12.4</v>
      </c>
      <c r="AE118" s="105">
        <v>25.3</v>
      </c>
      <c r="AF118" s="105">
        <v>64.5</v>
      </c>
      <c r="AG118" s="118"/>
      <c r="AH118" s="47">
        <f t="shared" si="12"/>
        <v>69.900000000000006</v>
      </c>
      <c r="AI118" s="48">
        <f t="shared" si="13"/>
        <v>12.4</v>
      </c>
    </row>
    <row r="119" spans="1:37" x14ac:dyDescent="0.25">
      <c r="A119" s="120" t="s">
        <v>127</v>
      </c>
      <c r="B119" s="105">
        <v>83</v>
      </c>
      <c r="C119" s="105">
        <v>91</v>
      </c>
      <c r="D119" s="105">
        <v>89</v>
      </c>
      <c r="E119" s="105">
        <v>80.900000000000006</v>
      </c>
      <c r="F119" s="105">
        <v>87</v>
      </c>
      <c r="G119" s="105">
        <v>92.1</v>
      </c>
      <c r="H119" s="105">
        <v>64.900000000000006</v>
      </c>
      <c r="I119" s="105">
        <v>82.8</v>
      </c>
      <c r="J119" s="105">
        <v>71.5</v>
      </c>
      <c r="K119" s="105">
        <v>78.900000000000006</v>
      </c>
      <c r="L119" s="105">
        <v>64</v>
      </c>
      <c r="M119" s="105">
        <v>64</v>
      </c>
      <c r="N119" s="105">
        <v>69.8</v>
      </c>
      <c r="O119" s="105">
        <v>68.3</v>
      </c>
      <c r="P119" s="105">
        <v>70</v>
      </c>
      <c r="Q119" s="105">
        <v>67.599999999999994</v>
      </c>
      <c r="R119" s="105">
        <v>67.599999999999994</v>
      </c>
      <c r="S119" s="105">
        <v>61.8</v>
      </c>
      <c r="T119" s="105">
        <v>70.7</v>
      </c>
      <c r="U119" s="105">
        <v>84.1</v>
      </c>
      <c r="V119" s="105">
        <v>79.2</v>
      </c>
      <c r="W119" s="105">
        <v>87.4</v>
      </c>
      <c r="X119" s="105">
        <v>76.3</v>
      </c>
      <c r="Y119" s="105">
        <v>50.4</v>
      </c>
      <c r="Z119" s="105">
        <v>68.7</v>
      </c>
      <c r="AA119" s="105">
        <v>83.2</v>
      </c>
      <c r="AB119" s="105">
        <v>75</v>
      </c>
      <c r="AC119" s="105">
        <v>75</v>
      </c>
      <c r="AD119" s="105">
        <v>101</v>
      </c>
      <c r="AE119" s="105">
        <v>100</v>
      </c>
      <c r="AF119" s="105">
        <v>77.8</v>
      </c>
      <c r="AG119" s="118"/>
      <c r="AH119" s="47">
        <f t="shared" si="12"/>
        <v>101</v>
      </c>
      <c r="AI119" s="48">
        <f t="shared" si="13"/>
        <v>50.4</v>
      </c>
    </row>
    <row r="120" spans="1:37" ht="15.75" thickBot="1" x14ac:dyDescent="0.3">
      <c r="A120" s="119" t="s">
        <v>128</v>
      </c>
      <c r="B120" s="105">
        <v>18</v>
      </c>
      <c r="C120" s="105">
        <v>16.100000000000001</v>
      </c>
      <c r="D120" s="105">
        <v>7</v>
      </c>
      <c r="E120" s="105">
        <v>3.3</v>
      </c>
      <c r="F120" s="105">
        <v>1.1000000000000001</v>
      </c>
      <c r="G120" s="105">
        <v>3.2</v>
      </c>
      <c r="H120" s="105">
        <v>-9.6</v>
      </c>
      <c r="I120" s="105">
        <v>-13</v>
      </c>
      <c r="J120" s="105">
        <v>-10.199999999999999</v>
      </c>
      <c r="K120" s="105">
        <v>-4.5</v>
      </c>
      <c r="L120" s="105">
        <v>14</v>
      </c>
      <c r="M120" s="105">
        <v>14</v>
      </c>
      <c r="N120" s="105">
        <v>13.5</v>
      </c>
      <c r="O120" s="105">
        <v>19</v>
      </c>
      <c r="P120" s="105">
        <v>38.5</v>
      </c>
      <c r="Q120" s="105">
        <v>32.4</v>
      </c>
      <c r="R120" s="105">
        <v>32.4</v>
      </c>
      <c r="S120" s="105">
        <v>38.200000000000003</v>
      </c>
      <c r="T120" s="105">
        <v>19</v>
      </c>
      <c r="U120" s="105">
        <v>13.7</v>
      </c>
      <c r="V120" s="105">
        <v>0</v>
      </c>
      <c r="W120" s="105">
        <v>0</v>
      </c>
      <c r="X120" s="105">
        <v>14.3</v>
      </c>
      <c r="Y120" s="105">
        <v>6.8</v>
      </c>
      <c r="Z120" s="105">
        <v>37.6</v>
      </c>
      <c r="AA120" s="105">
        <v>42.1</v>
      </c>
      <c r="AB120" s="105">
        <v>44</v>
      </c>
      <c r="AC120" s="105">
        <v>44</v>
      </c>
      <c r="AD120" s="105">
        <v>58.6</v>
      </c>
      <c r="AE120" s="105">
        <v>47.6</v>
      </c>
      <c r="AF120" s="105">
        <v>22.6</v>
      </c>
      <c r="AG120" s="118"/>
      <c r="AH120" s="47">
        <f t="shared" si="12"/>
        <v>58.6</v>
      </c>
      <c r="AI120" s="48">
        <f t="shared" si="13"/>
        <v>-13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8">SUM(B122:B226)</f>
        <v>0</v>
      </c>
      <c r="C227" s="136">
        <f t="shared" si="28"/>
        <v>0</v>
      </c>
      <c r="D227" s="136">
        <f t="shared" si="28"/>
        <v>0</v>
      </c>
      <c r="E227" s="136">
        <f t="shared" si="28"/>
        <v>0</v>
      </c>
      <c r="F227" s="136">
        <f t="shared" si="28"/>
        <v>0</v>
      </c>
      <c r="G227" s="136">
        <f t="shared" si="28"/>
        <v>0</v>
      </c>
      <c r="H227" s="136">
        <f t="shared" si="28"/>
        <v>0</v>
      </c>
      <c r="I227" s="136">
        <f t="shared" si="28"/>
        <v>0</v>
      </c>
      <c r="J227" s="136">
        <f t="shared" si="28"/>
        <v>0</v>
      </c>
      <c r="K227" s="136">
        <f t="shared" si="28"/>
        <v>0</v>
      </c>
      <c r="L227" s="136">
        <f t="shared" si="28"/>
        <v>0</v>
      </c>
      <c r="M227" s="136">
        <f t="shared" si="28"/>
        <v>0</v>
      </c>
      <c r="N227" s="136">
        <f t="shared" si="28"/>
        <v>0</v>
      </c>
      <c r="O227" s="136">
        <f t="shared" si="28"/>
        <v>0</v>
      </c>
      <c r="P227" s="136">
        <f t="shared" si="28"/>
        <v>0</v>
      </c>
      <c r="Q227" s="136">
        <f t="shared" si="28"/>
        <v>0</v>
      </c>
      <c r="R227" s="136">
        <f t="shared" si="28"/>
        <v>0</v>
      </c>
      <c r="S227" s="136">
        <f t="shared" si="28"/>
        <v>0</v>
      </c>
      <c r="T227" s="136">
        <f t="shared" si="28"/>
        <v>0</v>
      </c>
      <c r="U227" s="136">
        <f t="shared" si="28"/>
        <v>0</v>
      </c>
      <c r="V227" s="136">
        <f t="shared" si="28"/>
        <v>0</v>
      </c>
      <c r="W227" s="136">
        <f t="shared" si="28"/>
        <v>0</v>
      </c>
      <c r="X227" s="136">
        <f t="shared" si="28"/>
        <v>0</v>
      </c>
      <c r="Y227" s="136">
        <f t="shared" si="28"/>
        <v>0</v>
      </c>
      <c r="Z227" s="136">
        <f t="shared" si="28"/>
        <v>0</v>
      </c>
      <c r="AA227" s="136">
        <f t="shared" si="28"/>
        <v>0</v>
      </c>
      <c r="AB227" s="136">
        <f t="shared" si="28"/>
        <v>0</v>
      </c>
      <c r="AC227" s="136">
        <f t="shared" si="28"/>
        <v>0</v>
      </c>
      <c r="AD227" s="136">
        <f t="shared" si="28"/>
        <v>0</v>
      </c>
      <c r="AE227" s="136">
        <f t="shared" si="28"/>
        <v>0</v>
      </c>
      <c r="AF227" s="137">
        <f t="shared" si="28"/>
        <v>0</v>
      </c>
      <c r="AG227" s="138">
        <f t="shared" si="2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9">AF229</f>
        <v>0</v>
      </c>
      <c r="C229" s="140">
        <v>0.3</v>
      </c>
      <c r="D229" s="140">
        <f t="shared" ref="D229:P234" si="30">C229</f>
        <v>0.3</v>
      </c>
      <c r="E229" s="140">
        <f t="shared" si="30"/>
        <v>0.3</v>
      </c>
      <c r="F229" s="140">
        <f t="shared" si="30"/>
        <v>0.3</v>
      </c>
      <c r="G229" s="140">
        <f t="shared" si="30"/>
        <v>0.3</v>
      </c>
      <c r="H229" s="140">
        <f t="shared" si="30"/>
        <v>0.3</v>
      </c>
      <c r="I229" s="140">
        <f t="shared" si="30"/>
        <v>0.3</v>
      </c>
      <c r="J229" s="140">
        <f t="shared" si="30"/>
        <v>0.3</v>
      </c>
      <c r="K229" s="140">
        <f t="shared" si="30"/>
        <v>0.3</v>
      </c>
      <c r="L229" s="140">
        <f t="shared" si="30"/>
        <v>0.3</v>
      </c>
      <c r="M229" s="140">
        <f t="shared" si="30"/>
        <v>0.3</v>
      </c>
      <c r="N229" s="140">
        <f t="shared" si="30"/>
        <v>0.3</v>
      </c>
      <c r="O229" s="140">
        <f t="shared" si="30"/>
        <v>0.3</v>
      </c>
      <c r="P229" s="140">
        <f t="shared" si="3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9"/>
        <v>0</v>
      </c>
      <c r="C230" s="128">
        <v>0.4</v>
      </c>
      <c r="D230" s="128">
        <f t="shared" si="30"/>
        <v>0.4</v>
      </c>
      <c r="E230" s="128">
        <f t="shared" si="30"/>
        <v>0.4</v>
      </c>
      <c r="F230" s="128">
        <f t="shared" si="30"/>
        <v>0.4</v>
      </c>
      <c r="G230" s="128">
        <f t="shared" si="30"/>
        <v>0.4</v>
      </c>
      <c r="H230" s="128">
        <f t="shared" si="30"/>
        <v>0.4</v>
      </c>
      <c r="I230" s="128">
        <f t="shared" si="30"/>
        <v>0.4</v>
      </c>
      <c r="J230" s="128">
        <f t="shared" si="30"/>
        <v>0.4</v>
      </c>
      <c r="K230" s="128">
        <f t="shared" si="30"/>
        <v>0.4</v>
      </c>
      <c r="L230" s="128">
        <f t="shared" si="30"/>
        <v>0.4</v>
      </c>
      <c r="M230" s="128">
        <f t="shared" si="30"/>
        <v>0.4</v>
      </c>
      <c r="N230" s="128">
        <f t="shared" si="30"/>
        <v>0.4</v>
      </c>
      <c r="O230" s="128">
        <f t="shared" si="30"/>
        <v>0.4</v>
      </c>
      <c r="P230" s="128">
        <f t="shared" si="3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9"/>
        <v>0</v>
      </c>
      <c r="C231" s="128">
        <v>1.5</v>
      </c>
      <c r="D231" s="128">
        <f t="shared" si="30"/>
        <v>1.5</v>
      </c>
      <c r="E231" s="128">
        <f t="shared" si="30"/>
        <v>1.5</v>
      </c>
      <c r="F231" s="128">
        <f t="shared" si="30"/>
        <v>1.5</v>
      </c>
      <c r="G231" s="128">
        <f t="shared" si="30"/>
        <v>1.5</v>
      </c>
      <c r="H231" s="128">
        <f t="shared" si="3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0"/>
        <v>123.21900000000009</v>
      </c>
      <c r="K231" s="128">
        <f t="shared" ca="1" si="30"/>
        <v>123.21900000000009</v>
      </c>
      <c r="L231" s="128">
        <f t="shared" ca="1" si="30"/>
        <v>123.21900000000009</v>
      </c>
      <c r="M231" s="128">
        <f t="shared" ca="1" si="30"/>
        <v>119.19900000000008</v>
      </c>
      <c r="N231" s="128">
        <f t="shared" ca="1" si="30"/>
        <v>119.19900000000008</v>
      </c>
      <c r="O231" s="128">
        <f t="shared" ca="1" si="30"/>
        <v>119.19900000000008</v>
      </c>
      <c r="P231" s="128">
        <f t="shared" ca="1" si="3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9"/>
        <v>0</v>
      </c>
      <c r="C232" s="128">
        <v>0.3</v>
      </c>
      <c r="D232" s="128">
        <f t="shared" si="30"/>
        <v>0.3</v>
      </c>
      <c r="E232" s="128">
        <f t="shared" si="30"/>
        <v>0.3</v>
      </c>
      <c r="F232" s="128">
        <f t="shared" si="30"/>
        <v>0.3</v>
      </c>
      <c r="G232" s="128">
        <f t="shared" si="30"/>
        <v>0.3</v>
      </c>
      <c r="H232" s="128">
        <f t="shared" si="30"/>
        <v>0.3</v>
      </c>
      <c r="I232" s="128">
        <f t="shared" si="30"/>
        <v>0.3</v>
      </c>
      <c r="J232" s="128">
        <f t="shared" si="30"/>
        <v>0.3</v>
      </c>
      <c r="K232" s="128">
        <f t="shared" si="30"/>
        <v>0.3</v>
      </c>
      <c r="L232" s="128">
        <f t="shared" si="30"/>
        <v>0.3</v>
      </c>
      <c r="M232" s="128">
        <f t="shared" si="30"/>
        <v>0.3</v>
      </c>
      <c r="N232" s="128">
        <f t="shared" si="30"/>
        <v>0.3</v>
      </c>
      <c r="O232" s="128">
        <f t="shared" si="30"/>
        <v>0.3</v>
      </c>
      <c r="P232" s="128">
        <f t="shared" si="3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9"/>
        <v>0</v>
      </c>
      <c r="C233" s="128">
        <v>0.4</v>
      </c>
      <c r="D233" s="128">
        <f t="shared" si="30"/>
        <v>0.4</v>
      </c>
      <c r="E233" s="128">
        <f t="shared" si="30"/>
        <v>0.4</v>
      </c>
      <c r="F233" s="128">
        <f t="shared" si="30"/>
        <v>0.4</v>
      </c>
      <c r="G233" s="128">
        <f t="shared" si="30"/>
        <v>0.4</v>
      </c>
      <c r="H233" s="128">
        <f t="shared" si="30"/>
        <v>0.4</v>
      </c>
      <c r="I233" s="128">
        <f t="shared" si="30"/>
        <v>0.4</v>
      </c>
      <c r="J233" s="128">
        <f t="shared" si="30"/>
        <v>0.4</v>
      </c>
      <c r="K233" s="128">
        <f t="shared" si="30"/>
        <v>0.4</v>
      </c>
      <c r="L233" s="128">
        <f t="shared" si="30"/>
        <v>0.4</v>
      </c>
      <c r="M233" s="128">
        <f t="shared" si="30"/>
        <v>0.4</v>
      </c>
      <c r="N233" s="128">
        <f t="shared" si="30"/>
        <v>0.4</v>
      </c>
      <c r="O233" s="128">
        <f t="shared" si="30"/>
        <v>0.4</v>
      </c>
      <c r="P233" s="128">
        <f t="shared" si="3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9"/>
        <v>0</v>
      </c>
      <c r="C234" s="132">
        <v>0.64</v>
      </c>
      <c r="D234" s="132">
        <f t="shared" si="30"/>
        <v>0.64</v>
      </c>
      <c r="E234" s="132">
        <f t="shared" si="30"/>
        <v>0.64</v>
      </c>
      <c r="F234" s="132">
        <f t="shared" si="30"/>
        <v>0.64</v>
      </c>
      <c r="G234" s="132">
        <f t="shared" si="30"/>
        <v>0.64</v>
      </c>
      <c r="H234" s="132">
        <f t="shared" si="30"/>
        <v>0.64</v>
      </c>
      <c r="I234" s="132">
        <f t="shared" si="30"/>
        <v>0.64</v>
      </c>
      <c r="J234" s="132">
        <f t="shared" si="30"/>
        <v>0.64</v>
      </c>
      <c r="K234" s="132">
        <f t="shared" si="30"/>
        <v>0.64</v>
      </c>
      <c r="L234" s="132">
        <f t="shared" si="30"/>
        <v>0.64</v>
      </c>
      <c r="M234" s="132">
        <f t="shared" si="30"/>
        <v>0.64</v>
      </c>
      <c r="N234" s="132">
        <f t="shared" si="30"/>
        <v>0.64</v>
      </c>
      <c r="O234" s="132">
        <f t="shared" si="30"/>
        <v>0.64</v>
      </c>
      <c r="P234" s="132">
        <f t="shared" si="3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1">SUM(B229:B234)</f>
        <v>0</v>
      </c>
      <c r="C235" s="136">
        <f t="shared" si="31"/>
        <v>3.54</v>
      </c>
      <c r="D235" s="136">
        <f t="shared" si="31"/>
        <v>3.54</v>
      </c>
      <c r="E235" s="136">
        <f t="shared" si="31"/>
        <v>3.54</v>
      </c>
      <c r="F235" s="136">
        <f t="shared" si="31"/>
        <v>3.54</v>
      </c>
      <c r="G235" s="136">
        <f t="shared" si="31"/>
        <v>3.54</v>
      </c>
      <c r="H235" s="136">
        <f t="shared" si="31"/>
        <v>3.54</v>
      </c>
      <c r="I235" s="136">
        <f t="shared" ca="1" si="31"/>
        <v>121.23900000000009</v>
      </c>
      <c r="J235" s="136">
        <f t="shared" ca="1" si="31"/>
        <v>121.23900000000009</v>
      </c>
      <c r="K235" s="136">
        <f t="shared" ca="1" si="31"/>
        <v>121.23900000000009</v>
      </c>
      <c r="L235" s="136">
        <f t="shared" ca="1" si="31"/>
        <v>125.2590000000001</v>
      </c>
      <c r="M235" s="136">
        <f t="shared" ca="1" si="31"/>
        <v>121.23900000000009</v>
      </c>
      <c r="N235" s="136">
        <f t="shared" ca="1" si="31"/>
        <v>121.23900000000009</v>
      </c>
      <c r="O235" s="136">
        <f t="shared" ca="1" si="31"/>
        <v>121.23900000000009</v>
      </c>
      <c r="P235" s="136">
        <f t="shared" ca="1" si="31"/>
        <v>121.23900000000009</v>
      </c>
      <c r="Q235" s="136">
        <f t="shared" si="31"/>
        <v>0</v>
      </c>
      <c r="R235" s="136">
        <f t="shared" si="31"/>
        <v>0</v>
      </c>
      <c r="S235" s="136">
        <f t="shared" si="31"/>
        <v>0</v>
      </c>
      <c r="T235" s="136">
        <f t="shared" si="31"/>
        <v>0</v>
      </c>
      <c r="U235" s="136">
        <f t="shared" si="31"/>
        <v>0</v>
      </c>
      <c r="V235" s="136">
        <f t="shared" si="31"/>
        <v>0</v>
      </c>
      <c r="W235" s="136">
        <f t="shared" si="31"/>
        <v>0</v>
      </c>
      <c r="X235" s="136">
        <f t="shared" si="31"/>
        <v>0</v>
      </c>
      <c r="Y235" s="136">
        <f t="shared" si="31"/>
        <v>0</v>
      </c>
      <c r="Z235" s="136">
        <f t="shared" si="31"/>
        <v>0</v>
      </c>
      <c r="AA235" s="136">
        <f t="shared" si="31"/>
        <v>0</v>
      </c>
      <c r="AB235" s="136">
        <f t="shared" si="31"/>
        <v>0</v>
      </c>
      <c r="AC235" s="136">
        <f t="shared" si="31"/>
        <v>0</v>
      </c>
      <c r="AD235" s="136">
        <f t="shared" si="31"/>
        <v>0</v>
      </c>
      <c r="AE235" s="136">
        <f t="shared" si="31"/>
        <v>0</v>
      </c>
      <c r="AF235" s="136">
        <f t="shared" si="31"/>
        <v>0</v>
      </c>
      <c r="AG235" s="145">
        <f t="shared" si="3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2246.9399999999996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12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2080/05/12)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2080/05/12)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2">B91</f>
        <v>2141.34</v>
      </c>
      <c r="U249" s="170">
        <f t="shared" si="32"/>
        <v>2141.34</v>
      </c>
      <c r="V249" s="170">
        <f t="shared" si="32"/>
        <v>2125.54</v>
      </c>
      <c r="W249" s="170">
        <f t="shared" si="32"/>
        <v>2127.5400000000004</v>
      </c>
      <c r="X249" s="170">
        <f t="shared" si="32"/>
        <v>2137.1400000000003</v>
      </c>
      <c r="Y249" s="170">
        <f t="shared" si="32"/>
        <v>2139.9400000000005</v>
      </c>
      <c r="Z249" s="170">
        <f t="shared" si="32"/>
        <v>2114.84</v>
      </c>
      <c r="AA249" s="170">
        <f t="shared" si="32"/>
        <v>2169.7400000000002</v>
      </c>
      <c r="AB249" s="170">
        <f t="shared" si="32"/>
        <v>2175.94</v>
      </c>
      <c r="AC249" s="170">
        <f t="shared" si="32"/>
        <v>2192.8399999999997</v>
      </c>
      <c r="AD249" s="170">
        <f t="shared" si="32"/>
        <v>2244.04</v>
      </c>
      <c r="AE249" s="170">
        <f t="shared" si="32"/>
        <v>2239.1299999999997</v>
      </c>
      <c r="AF249" s="170">
        <f t="shared" si="32"/>
        <v>2246.9399999999996</v>
      </c>
      <c r="AG249" s="170">
        <f t="shared" si="32"/>
        <v>2268.0499999999997</v>
      </c>
      <c r="AH249" s="170">
        <f t="shared" si="32"/>
        <v>2283.64</v>
      </c>
      <c r="AI249" s="170">
        <f t="shared" si="32"/>
        <v>2247.7400000000002</v>
      </c>
      <c r="AJ249" s="170">
        <f t="shared" si="32"/>
        <v>2252.7400000000002</v>
      </c>
      <c r="AK249" s="170">
        <f t="shared" si="32"/>
        <v>2249.44</v>
      </c>
      <c r="AL249" s="170">
        <f t="shared" si="32"/>
        <v>2260.84</v>
      </c>
      <c r="AM249" s="170">
        <f t="shared" si="32"/>
        <v>2221.9399999999996</v>
      </c>
      <c r="AN249" s="170">
        <f t="shared" si="32"/>
        <v>2186.2399999999998</v>
      </c>
      <c r="AO249" s="170">
        <f t="shared" si="32"/>
        <v>2182.04</v>
      </c>
      <c r="AP249" s="170">
        <f t="shared" si="32"/>
        <v>2215.9399999999996</v>
      </c>
      <c r="AQ249" s="170">
        <f t="shared" si="32"/>
        <v>2264.14</v>
      </c>
      <c r="AR249" s="170">
        <f t="shared" si="32"/>
        <v>2278.44</v>
      </c>
      <c r="AS249" s="170">
        <f t="shared" si="32"/>
        <v>2283.2399999999998</v>
      </c>
      <c r="AT249" s="170">
        <f t="shared" si="32"/>
        <v>2230.2399999999998</v>
      </c>
      <c r="AU249" s="170">
        <f t="shared" si="32"/>
        <v>2224.7399999999998</v>
      </c>
      <c r="AV249" s="170">
        <f t="shared" si="32"/>
        <v>2224.7399999999998</v>
      </c>
      <c r="AW249" s="170">
        <f t="shared" si="32"/>
        <v>2198.7399999999998</v>
      </c>
      <c r="AX249" s="170">
        <f t="shared" si="32"/>
        <v>2124.64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3">C234</f>
        <v>0.64</v>
      </c>
      <c r="C270" s="173">
        <f t="shared" si="33"/>
        <v>0.64</v>
      </c>
      <c r="D270" s="173">
        <f t="shared" si="33"/>
        <v>0.64</v>
      </c>
      <c r="E270" s="173">
        <f t="shared" si="33"/>
        <v>0.64</v>
      </c>
      <c r="F270" s="173">
        <f t="shared" si="33"/>
        <v>0.64</v>
      </c>
      <c r="G270" s="173">
        <f t="shared" si="33"/>
        <v>0.64</v>
      </c>
      <c r="H270" s="173">
        <f t="shared" si="33"/>
        <v>0.64</v>
      </c>
      <c r="I270" s="173">
        <f t="shared" si="33"/>
        <v>0.64</v>
      </c>
      <c r="J270" s="173">
        <f t="shared" si="33"/>
        <v>0.64</v>
      </c>
      <c r="K270" s="173">
        <f t="shared" si="33"/>
        <v>0.64</v>
      </c>
      <c r="L270" s="173">
        <f t="shared" si="33"/>
        <v>0.64</v>
      </c>
      <c r="M270" s="173">
        <f t="shared" si="33"/>
        <v>0.64</v>
      </c>
      <c r="N270" s="173">
        <f t="shared" si="33"/>
        <v>0.64</v>
      </c>
      <c r="O270" s="173">
        <f t="shared" si="33"/>
        <v>0.64</v>
      </c>
      <c r="P270" s="173">
        <f t="shared" si="33"/>
        <v>0</v>
      </c>
      <c r="Q270" s="173">
        <f t="shared" si="33"/>
        <v>0</v>
      </c>
      <c r="R270" s="173">
        <f t="shared" si="33"/>
        <v>0</v>
      </c>
      <c r="S270" s="173">
        <f t="shared" si="33"/>
        <v>0</v>
      </c>
      <c r="T270" s="173">
        <f t="shared" si="33"/>
        <v>0</v>
      </c>
      <c r="U270" s="173">
        <f t="shared" si="33"/>
        <v>0</v>
      </c>
      <c r="V270" s="173">
        <f t="shared" si="33"/>
        <v>0</v>
      </c>
      <c r="W270" s="173">
        <f t="shared" si="33"/>
        <v>0</v>
      </c>
      <c r="X270" s="173">
        <f t="shared" si="33"/>
        <v>0</v>
      </c>
      <c r="Y270" s="173">
        <f t="shared" si="33"/>
        <v>0</v>
      </c>
      <c r="Z270" s="173">
        <f t="shared" si="33"/>
        <v>0</v>
      </c>
      <c r="AA270" s="173">
        <f t="shared" si="33"/>
        <v>0</v>
      </c>
      <c r="AB270" s="173">
        <f t="shared" si="33"/>
        <v>0</v>
      </c>
      <c r="AC270" s="173">
        <f t="shared" si="33"/>
        <v>0</v>
      </c>
      <c r="AD270" s="173">
        <f t="shared" si="33"/>
        <v>0</v>
      </c>
      <c r="AE270" s="173">
        <f t="shared" si="3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4">IF(B238&lt;100,"",B238-520)</f>
        <v/>
      </c>
      <c r="C271" s="174" t="str">
        <f t="shared" si="34"/>
        <v/>
      </c>
      <c r="D271" s="174" t="str">
        <f t="shared" si="34"/>
        <v/>
      </c>
      <c r="E271" s="174" t="str">
        <f t="shared" si="34"/>
        <v/>
      </c>
      <c r="F271" s="174" t="str">
        <f t="shared" si="34"/>
        <v/>
      </c>
      <c r="G271" s="174" t="str">
        <f t="shared" si="34"/>
        <v/>
      </c>
      <c r="H271" s="174" t="str">
        <f t="shared" si="34"/>
        <v/>
      </c>
      <c r="I271" s="174" t="str">
        <f t="shared" si="34"/>
        <v/>
      </c>
      <c r="J271" s="174" t="str">
        <f t="shared" si="34"/>
        <v/>
      </c>
      <c r="K271" s="174" t="str">
        <f t="shared" si="34"/>
        <v/>
      </c>
      <c r="L271" s="174" t="str">
        <f t="shared" si="34"/>
        <v/>
      </c>
      <c r="M271" s="174" t="str">
        <f t="shared" si="34"/>
        <v/>
      </c>
      <c r="N271" s="174" t="str">
        <f t="shared" si="34"/>
        <v/>
      </c>
      <c r="O271" s="174" t="str">
        <f t="shared" si="34"/>
        <v/>
      </c>
      <c r="P271" s="174" t="str">
        <f t="shared" si="34"/>
        <v/>
      </c>
      <c r="Q271" s="174" t="str">
        <f t="shared" si="34"/>
        <v/>
      </c>
      <c r="R271" s="174" t="str">
        <f t="shared" si="34"/>
        <v/>
      </c>
      <c r="S271" s="174" t="str">
        <f t="shared" si="34"/>
        <v/>
      </c>
      <c r="T271" s="174" t="str">
        <f t="shared" si="34"/>
        <v/>
      </c>
      <c r="U271" s="174" t="str">
        <f t="shared" si="34"/>
        <v/>
      </c>
      <c r="V271" s="174" t="str">
        <f t="shared" si="34"/>
        <v/>
      </c>
      <c r="W271" s="174" t="str">
        <f t="shared" si="34"/>
        <v/>
      </c>
      <c r="X271" s="174" t="str">
        <f t="shared" si="34"/>
        <v/>
      </c>
      <c r="Y271" s="174" t="str">
        <f t="shared" si="34"/>
        <v/>
      </c>
      <c r="Z271" s="174" t="str">
        <f t="shared" si="34"/>
        <v/>
      </c>
      <c r="AA271" s="174" t="str">
        <f t="shared" si="34"/>
        <v/>
      </c>
      <c r="AB271" s="174" t="str">
        <f t="shared" si="34"/>
        <v/>
      </c>
      <c r="AC271" s="174" t="str">
        <f t="shared" si="34"/>
        <v/>
      </c>
      <c r="AD271" s="174" t="str">
        <f t="shared" si="34"/>
        <v/>
      </c>
      <c r="AE271" s="174" t="str">
        <f t="shared" si="34"/>
        <v/>
      </c>
      <c r="AF271" s="174" t="str">
        <f t="shared" si="3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5">IF(B239&lt;100,"",B239-620)</f>
        <v/>
      </c>
      <c r="C272" s="174" t="str">
        <f t="shared" si="35"/>
        <v/>
      </c>
      <c r="D272" s="174" t="str">
        <f t="shared" si="35"/>
        <v/>
      </c>
      <c r="E272" s="174" t="str">
        <f t="shared" si="35"/>
        <v/>
      </c>
      <c r="F272" s="174" t="str">
        <f t="shared" si="35"/>
        <v/>
      </c>
      <c r="G272" s="174" t="str">
        <f t="shared" si="35"/>
        <v/>
      </c>
      <c r="H272" s="174" t="str">
        <f t="shared" si="35"/>
        <v/>
      </c>
      <c r="I272" s="174" t="str">
        <f t="shared" si="35"/>
        <v/>
      </c>
      <c r="J272" s="174" t="str">
        <f t="shared" si="35"/>
        <v/>
      </c>
      <c r="K272" s="174" t="str">
        <f t="shared" si="35"/>
        <v/>
      </c>
      <c r="L272" s="174" t="str">
        <f t="shared" si="35"/>
        <v/>
      </c>
      <c r="M272" s="174" t="str">
        <f t="shared" si="35"/>
        <v/>
      </c>
      <c r="N272" s="174" t="str">
        <f t="shared" si="35"/>
        <v/>
      </c>
      <c r="O272" s="174" t="str">
        <f t="shared" si="35"/>
        <v/>
      </c>
      <c r="P272" s="174" t="str">
        <f t="shared" si="35"/>
        <v/>
      </c>
      <c r="Q272" s="174" t="str">
        <f t="shared" si="35"/>
        <v/>
      </c>
      <c r="R272" s="174" t="str">
        <f t="shared" si="35"/>
        <v/>
      </c>
      <c r="S272" s="174" t="str">
        <f t="shared" si="35"/>
        <v/>
      </c>
      <c r="T272" s="174" t="str">
        <f t="shared" si="35"/>
        <v/>
      </c>
      <c r="U272" s="174" t="str">
        <f t="shared" si="35"/>
        <v/>
      </c>
      <c r="V272" s="174" t="str">
        <f t="shared" si="35"/>
        <v/>
      </c>
      <c r="W272" s="174" t="str">
        <f t="shared" si="35"/>
        <v/>
      </c>
      <c r="X272" s="174" t="str">
        <f t="shared" si="35"/>
        <v/>
      </c>
      <c r="Y272" s="174" t="str">
        <f t="shared" si="35"/>
        <v/>
      </c>
      <c r="Z272" s="174" t="str">
        <f t="shared" si="35"/>
        <v/>
      </c>
      <c r="AA272" s="174" t="str">
        <f t="shared" si="35"/>
        <v/>
      </c>
      <c r="AB272" s="174" t="str">
        <f t="shared" si="35"/>
        <v/>
      </c>
      <c r="AC272" s="174" t="str">
        <f t="shared" si="35"/>
        <v/>
      </c>
      <c r="AD272" s="174" t="str">
        <f t="shared" si="35"/>
        <v/>
      </c>
      <c r="AE272" s="174" t="str">
        <f t="shared" si="35"/>
        <v/>
      </c>
      <c r="AF272" s="174" t="str">
        <f t="shared" si="3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6">IF(B240&lt;100,"",B240-330)</f>
        <v/>
      </c>
      <c r="C273" s="174" t="str">
        <f t="shared" si="36"/>
        <v/>
      </c>
      <c r="D273" s="174" t="str">
        <f t="shared" si="36"/>
        <v/>
      </c>
      <c r="E273" s="174" t="str">
        <f t="shared" si="36"/>
        <v/>
      </c>
      <c r="F273" s="174" t="str">
        <f t="shared" si="36"/>
        <v/>
      </c>
      <c r="G273" s="174" t="str">
        <f t="shared" si="36"/>
        <v/>
      </c>
      <c r="H273" s="174" t="str">
        <f t="shared" si="36"/>
        <v/>
      </c>
      <c r="I273" s="174" t="str">
        <f t="shared" si="36"/>
        <v/>
      </c>
      <c r="J273" s="174" t="str">
        <f t="shared" si="36"/>
        <v/>
      </c>
      <c r="K273" s="174" t="str">
        <f t="shared" si="36"/>
        <v/>
      </c>
      <c r="L273" s="174" t="str">
        <f t="shared" si="36"/>
        <v/>
      </c>
      <c r="M273" s="174" t="str">
        <f t="shared" si="36"/>
        <v/>
      </c>
      <c r="N273" s="174" t="str">
        <f t="shared" si="36"/>
        <v/>
      </c>
      <c r="O273" s="174" t="str">
        <f t="shared" si="36"/>
        <v/>
      </c>
      <c r="P273" s="174" t="str">
        <f t="shared" si="36"/>
        <v/>
      </c>
      <c r="Q273" s="174" t="str">
        <f t="shared" si="36"/>
        <v/>
      </c>
      <c r="R273" s="174" t="str">
        <f t="shared" si="36"/>
        <v/>
      </c>
      <c r="S273" s="174" t="str">
        <f t="shared" si="36"/>
        <v/>
      </c>
      <c r="T273" s="174" t="str">
        <f t="shared" si="36"/>
        <v/>
      </c>
      <c r="U273" s="174" t="str">
        <f t="shared" si="36"/>
        <v/>
      </c>
      <c r="V273" s="174" t="str">
        <f t="shared" si="36"/>
        <v/>
      </c>
      <c r="W273" s="174" t="str">
        <f t="shared" si="36"/>
        <v/>
      </c>
      <c r="X273" s="174" t="str">
        <f t="shared" si="36"/>
        <v/>
      </c>
      <c r="Y273" s="174" t="str">
        <f t="shared" si="36"/>
        <v/>
      </c>
      <c r="Z273" s="174" t="str">
        <f t="shared" si="36"/>
        <v/>
      </c>
      <c r="AA273" s="174" t="str">
        <f t="shared" si="36"/>
        <v/>
      </c>
      <c r="AB273" s="174" t="str">
        <f t="shared" si="36"/>
        <v/>
      </c>
      <c r="AC273" s="174" t="str">
        <f t="shared" si="36"/>
        <v/>
      </c>
      <c r="AD273" s="174" t="str">
        <f t="shared" si="36"/>
        <v/>
      </c>
      <c r="AE273" s="174" t="str">
        <f t="shared" si="36"/>
        <v/>
      </c>
      <c r="AF273" s="174" t="str">
        <f t="shared" si="3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7">IF(B241&lt;100,"",B241-1500)</f>
        <v/>
      </c>
      <c r="C274" s="174" t="str">
        <f t="shared" si="37"/>
        <v/>
      </c>
      <c r="D274" s="174" t="str">
        <f t="shared" si="37"/>
        <v/>
      </c>
      <c r="E274" s="174" t="str">
        <f t="shared" si="37"/>
        <v/>
      </c>
      <c r="F274" s="174" t="str">
        <f t="shared" si="37"/>
        <v/>
      </c>
      <c r="G274" s="174" t="str">
        <f t="shared" si="37"/>
        <v/>
      </c>
      <c r="H274" s="174" t="str">
        <f t="shared" si="37"/>
        <v/>
      </c>
      <c r="I274" s="174" t="str">
        <f t="shared" si="37"/>
        <v/>
      </c>
      <c r="J274" s="174" t="str">
        <f t="shared" si="37"/>
        <v/>
      </c>
      <c r="K274" s="174" t="str">
        <f t="shared" si="37"/>
        <v/>
      </c>
      <c r="L274" s="174" t="str">
        <f t="shared" si="37"/>
        <v/>
      </c>
      <c r="M274" s="174" t="str">
        <f t="shared" si="37"/>
        <v/>
      </c>
      <c r="N274" s="174" t="str">
        <f t="shared" si="37"/>
        <v/>
      </c>
      <c r="O274" s="174" t="str">
        <f t="shared" si="37"/>
        <v/>
      </c>
      <c r="P274" s="174" t="str">
        <f t="shared" si="37"/>
        <v/>
      </c>
      <c r="Q274" s="174" t="str">
        <f t="shared" si="37"/>
        <v/>
      </c>
      <c r="R274" s="174" t="str">
        <f t="shared" si="37"/>
        <v/>
      </c>
      <c r="S274" s="174" t="str">
        <f t="shared" si="37"/>
        <v/>
      </c>
      <c r="T274" s="174" t="str">
        <f t="shared" si="37"/>
        <v/>
      </c>
      <c r="U274" s="174" t="str">
        <f t="shared" si="37"/>
        <v/>
      </c>
      <c r="V274" s="174" t="str">
        <f t="shared" si="37"/>
        <v/>
      </c>
      <c r="W274" s="174" t="str">
        <f t="shared" si="37"/>
        <v/>
      </c>
      <c r="X274" s="174" t="str">
        <f t="shared" si="37"/>
        <v/>
      </c>
      <c r="Y274" s="174" t="str">
        <f t="shared" si="37"/>
        <v/>
      </c>
      <c r="Z274" s="174" t="str">
        <f t="shared" si="37"/>
        <v/>
      </c>
      <c r="AA274" s="174" t="str">
        <f t="shared" si="37"/>
        <v/>
      </c>
      <c r="AB274" s="174" t="str">
        <f t="shared" si="37"/>
        <v/>
      </c>
      <c r="AC274" s="174" t="str">
        <f t="shared" si="37"/>
        <v/>
      </c>
      <c r="AD274" s="174" t="str">
        <f t="shared" si="37"/>
        <v/>
      </c>
      <c r="AE274" s="174" t="str">
        <f t="shared" si="37"/>
        <v/>
      </c>
      <c r="AF274" s="174" t="str">
        <f t="shared" si="3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495" priority="64">
      <formula>$AH11=0</formula>
    </cfRule>
  </conditionalFormatting>
  <conditionalFormatting sqref="B8 M8 S8 AB8">
    <cfRule type="expression" dxfId="2494" priority="115">
      <formula>AND(C$9&gt;=14/24,C$9&lt;20/24)</formula>
    </cfRule>
    <cfRule type="expression" dxfId="2493" priority="116">
      <formula>AND(C$9&gt;=8/24,C$9&lt;14/24)</formula>
    </cfRule>
    <cfRule type="expression" dxfId="2492" priority="117">
      <formula>C$9&lt;8/24</formula>
    </cfRule>
  </conditionalFormatting>
  <conditionalFormatting sqref="B54:C54">
    <cfRule type="expression" dxfId="2491" priority="38">
      <formula>B$9&gt;=20/24</formula>
    </cfRule>
    <cfRule type="expression" dxfId="2490" priority="39">
      <formula>AND(B$9&gt;=14/24,B$9&lt;20/24)</formula>
    </cfRule>
    <cfRule type="expression" dxfId="2489" priority="40">
      <formula>AND(B$9&gt;=8/24,B$9&lt;14/24)</formula>
    </cfRule>
    <cfRule type="expression" dxfId="2488" priority="41">
      <formula>B$9&lt;8/24</formula>
    </cfRule>
  </conditionalFormatting>
  <conditionalFormatting sqref="B54:C66 D55:D66 E60:J66 K61:X66">
    <cfRule type="expression" dxfId="2487" priority="33">
      <formula>B54&gt;$AG54</formula>
    </cfRule>
  </conditionalFormatting>
  <conditionalFormatting sqref="B55:D59">
    <cfRule type="expression" dxfId="2486" priority="60">
      <formula>B$9&gt;=20/24</formula>
    </cfRule>
    <cfRule type="expression" dxfId="2485" priority="61">
      <formula>AND(B$9&gt;=14/24,B$9&lt;20/24)</formula>
    </cfRule>
    <cfRule type="expression" dxfId="2484" priority="62">
      <formula>AND(B$9&gt;=8/24,B$9&lt;14/24)</formula>
    </cfRule>
    <cfRule type="expression" dxfId="2483" priority="63">
      <formula>B$9&lt;8/24</formula>
    </cfRule>
  </conditionalFormatting>
  <conditionalFormatting sqref="B60:X60">
    <cfRule type="expression" dxfId="2482" priority="51">
      <formula>B$9&gt;=20/24</formula>
    </cfRule>
    <cfRule type="expression" dxfId="2481" priority="52">
      <formula>AND(B$9&gt;=14/24,B$9&lt;20/24)</formula>
    </cfRule>
    <cfRule type="expression" dxfId="2480" priority="53">
      <formula>AND(B$9&gt;=8/24,B$9&lt;14/24)</formula>
    </cfRule>
    <cfRule type="expression" dxfId="2479" priority="54">
      <formula>B$9&lt;8/24</formula>
    </cfRule>
  </conditionalFormatting>
  <conditionalFormatting sqref="B61:AF66">
    <cfRule type="expression" dxfId="2478" priority="34">
      <formula>B$9&gt;=20/24</formula>
    </cfRule>
    <cfRule type="expression" dxfId="2477" priority="35">
      <formula>AND(B$9&gt;=14/24,B$9&lt;20/24)</formula>
    </cfRule>
    <cfRule type="expression" dxfId="2476" priority="36">
      <formula>AND(B$9&gt;=8/24,B$9&lt;14/24)</formula>
    </cfRule>
    <cfRule type="expression" dxfId="2475" priority="37">
      <formula>B$9&lt;8/24</formula>
    </cfRule>
  </conditionalFormatting>
  <conditionalFormatting sqref="B9:AF45">
    <cfRule type="expression" dxfId="2474" priority="23">
      <formula>B$9&gt;=20/24</formula>
    </cfRule>
    <cfRule type="expression" dxfId="2473" priority="24">
      <formula>AND(B$9&gt;=14/24,B$9&lt;20/24)</formula>
    </cfRule>
    <cfRule type="expression" dxfId="2472" priority="25">
      <formula>AND(B$9&gt;=8/24,B$9&lt;14/24)</formula>
    </cfRule>
    <cfRule type="expression" dxfId="2471" priority="26">
      <formula>B$9&lt;8/24</formula>
    </cfRule>
  </conditionalFormatting>
  <conditionalFormatting sqref="B11:AF46">
    <cfRule type="expression" dxfId="2470" priority="22">
      <formula>B11&gt;$AG11</formula>
    </cfRule>
  </conditionalFormatting>
  <conditionalFormatting sqref="B46:AF46">
    <cfRule type="expression" dxfId="2469" priority="18">
      <formula>B$9&gt;=20/24</formula>
    </cfRule>
    <cfRule type="expression" dxfId="2468" priority="19">
      <formula>AND(B$9&gt;=14/24,B$9&lt;20/24)</formula>
    </cfRule>
    <cfRule type="expression" dxfId="2467" priority="20">
      <formula>AND(B$9&gt;=8/24,B$9&lt;14/24)</formula>
    </cfRule>
    <cfRule type="expression" dxfId="2466" priority="21">
      <formula>B$9&lt;8/24</formula>
    </cfRule>
  </conditionalFormatting>
  <conditionalFormatting sqref="B47:AF47">
    <cfRule type="expression" dxfId="2465" priority="32">
      <formula>B47&gt;$AG47</formula>
    </cfRule>
  </conditionalFormatting>
  <conditionalFormatting sqref="B47:AF49">
    <cfRule type="expression" dxfId="2464" priority="28">
      <formula>B$9&gt;=20/24</formula>
    </cfRule>
    <cfRule type="expression" dxfId="2463" priority="29">
      <formula>AND(B$9&gt;=14/24,B$9&lt;20/24)</formula>
    </cfRule>
    <cfRule type="expression" dxfId="2462" priority="30">
      <formula>AND(B$9&gt;=8/24,B$9&lt;14/24)</formula>
    </cfRule>
    <cfRule type="expression" dxfId="2461" priority="31">
      <formula>B$9&lt;8/24</formula>
    </cfRule>
  </conditionalFormatting>
  <conditionalFormatting sqref="B48:AF53">
    <cfRule type="expression" dxfId="2460" priority="27">
      <formula>B48&gt;$AG48</formula>
    </cfRule>
  </conditionalFormatting>
  <conditionalFormatting sqref="B51:AF53">
    <cfRule type="expression" dxfId="2459" priority="47">
      <formula>B$9&gt;=20/24</formula>
    </cfRule>
    <cfRule type="expression" dxfId="2458" priority="48">
      <formula>AND(B$9&gt;=14/24,B$9&lt;20/24)</formula>
    </cfRule>
    <cfRule type="expression" dxfId="2457" priority="49">
      <formula>AND(B$9&gt;=8/24,B$9&lt;14/24)</formula>
    </cfRule>
    <cfRule type="expression" dxfId="2456" priority="50">
      <formula>B$9&lt;8/24</formula>
    </cfRule>
  </conditionalFormatting>
  <conditionalFormatting sqref="B69:AF71">
    <cfRule type="expression" dxfId="2455" priority="55">
      <formula>B69&gt;$AG69</formula>
    </cfRule>
    <cfRule type="expression" dxfId="2454" priority="56">
      <formula>B$9&gt;=20/24</formula>
    </cfRule>
    <cfRule type="expression" dxfId="2453" priority="57">
      <formula>AND(B$9&gt;=14/24,B$9&lt;20/24)</formula>
    </cfRule>
    <cfRule type="expression" dxfId="2452" priority="58">
      <formula>AND(B$9&gt;=8/24,B$9&lt;14/24)</formula>
    </cfRule>
    <cfRule type="expression" dxfId="2451" priority="59">
      <formula>B$9&lt;8/24</formula>
    </cfRule>
  </conditionalFormatting>
  <conditionalFormatting sqref="B73:AF91">
    <cfRule type="expression" dxfId="2450" priority="1">
      <formula>B$9&gt;=20/24</formula>
    </cfRule>
    <cfRule type="expression" dxfId="2449" priority="2">
      <formula>AND(B$9&gt;=14/24,B$9&lt;20/24)</formula>
    </cfRule>
    <cfRule type="expression" dxfId="2448" priority="3">
      <formula>AND(B$9&gt;=8/24,B$9&lt;14/24)</formula>
    </cfRule>
    <cfRule type="expression" dxfId="2447" priority="4">
      <formula>B$9&lt;8/24</formula>
    </cfRule>
  </conditionalFormatting>
  <conditionalFormatting sqref="B111:AF120">
    <cfRule type="expression" dxfId="2446" priority="14">
      <formula>B$9&gt;=20/24</formula>
    </cfRule>
    <cfRule type="expression" dxfId="2445" priority="15">
      <formula>AND(B$9&gt;=14/24,B$9&lt;20/24)</formula>
    </cfRule>
    <cfRule type="expression" dxfId="2444" priority="16">
      <formula>AND(B$9&gt;=8/24,B$9&lt;14/24)</formula>
    </cfRule>
    <cfRule type="expression" dxfId="2443" priority="17">
      <formula>B$9&lt;8/24</formula>
    </cfRule>
  </conditionalFormatting>
  <conditionalFormatting sqref="B227:AF227 D229:AF230 B229:B235 D231:H231 J231:AF231 D232:AF235 U248:AF248">
    <cfRule type="expression" dxfId="2442" priority="108">
      <formula>B$9&gt;=20/24</formula>
    </cfRule>
    <cfRule type="expression" dxfId="2441" priority="109">
      <formula>AND(B$9&gt;=14/24,B$9&lt;20/24)</formula>
    </cfRule>
    <cfRule type="expression" dxfId="2440" priority="110">
      <formula>AND(B$9&gt;=8/24,B$9&lt;14/24)</formula>
    </cfRule>
    <cfRule type="expression" dxfId="2439" priority="111">
      <formula>B$9&lt;8/24</formula>
    </cfRule>
  </conditionalFormatting>
  <conditionalFormatting sqref="B72:AG72 B67:AG68">
    <cfRule type="expression" dxfId="2438" priority="42">
      <formula>B67&gt;$AG67</formula>
    </cfRule>
  </conditionalFormatting>
  <conditionalFormatting sqref="B72:AG72 B93:AF109">
    <cfRule type="expression" dxfId="2437" priority="43">
      <formula>B$9&gt;=20/24</formula>
    </cfRule>
    <cfRule type="expression" dxfId="2436" priority="44">
      <formula>AND(B$9&gt;=14/24,B$9&lt;20/24)</formula>
    </cfRule>
    <cfRule type="expression" dxfId="2435" priority="45">
      <formula>AND(B$9&gt;=8/24,B$9&lt;14/24)</formula>
    </cfRule>
    <cfRule type="expression" dxfId="2434" priority="46">
      <formula>B$9&lt;8/24</formula>
    </cfRule>
  </conditionalFormatting>
  <conditionalFormatting sqref="E55:J59 K55:AF66">
    <cfRule type="expression" dxfId="2433" priority="5">
      <formula>E55&gt;$AG55</formula>
    </cfRule>
  </conditionalFormatting>
  <conditionalFormatting sqref="D54:AG54">
    <cfRule type="expression" dxfId="2432" priority="76">
      <formula>D54&gt;$AG54</formula>
    </cfRule>
    <cfRule type="expression" dxfId="2431" priority="77">
      <formula>D$9&gt;=20/24</formula>
    </cfRule>
    <cfRule type="expression" dxfId="2430" priority="78">
      <formula>AND(D$9&gt;=14/24,D$9&lt;20/24)</formula>
    </cfRule>
    <cfRule type="expression" dxfId="2429" priority="79">
      <formula>AND(D$9&gt;=8/24,D$9&lt;14/24)</formula>
    </cfRule>
    <cfRule type="expression" dxfId="2428" priority="80">
      <formula>D$9&lt;8/24</formula>
    </cfRule>
  </conditionalFormatting>
  <conditionalFormatting sqref="E55:X57">
    <cfRule type="expression" dxfId="2427" priority="89">
      <formula>E$9&gt;=20/24</formula>
    </cfRule>
    <cfRule type="expression" dxfId="2426" priority="90">
      <formula>AND(E$9&gt;=14/24,E$9&lt;20/24)</formula>
    </cfRule>
    <cfRule type="expression" dxfId="2425" priority="91">
      <formula>AND(E$9&gt;=8/24,E$9&lt;14/24)</formula>
    </cfRule>
    <cfRule type="expression" dxfId="2424" priority="92">
      <formula>E$9&lt;8/24</formula>
    </cfRule>
  </conditionalFormatting>
  <conditionalFormatting sqref="O55:X59">
    <cfRule type="expression" dxfId="2423" priority="93">
      <formula>O$9&gt;=20/24</formula>
    </cfRule>
    <cfRule type="expression" dxfId="2422" priority="94">
      <formula>AND(O$9&gt;=14/24,O$9&lt;20/24)</formula>
    </cfRule>
    <cfRule type="expression" dxfId="2421" priority="95">
      <formula>AND(O$9&gt;=8/24,O$9&lt;14/24)</formula>
    </cfRule>
    <cfRule type="expression" dxfId="2420" priority="96">
      <formula>O$9&lt;8/24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419" priority="114">
      <formula>C$9&gt;=20/24</formula>
    </cfRule>
  </conditionalFormatting>
  <conditionalFormatting sqref="S8">
    <cfRule type="expression" dxfId="2418" priority="101">
      <formula>U$9&gt;=20/24</formula>
    </cfRule>
    <cfRule type="expression" dxfId="2417" priority="102">
      <formula>AND(U$9&gt;=14/24,U$9&lt;20/24)</formula>
    </cfRule>
    <cfRule type="expression" dxfId="2416" priority="103">
      <formula>AND(U$9&gt;=8/24,U$9&lt;14/24)</formula>
    </cfRule>
    <cfRule type="expression" dxfId="2415" priority="104">
      <formula>U$9&lt;8/24</formula>
    </cfRule>
  </conditionalFormatting>
  <conditionalFormatting sqref="Y55:AF60">
    <cfRule type="expression" dxfId="2414" priority="10">
      <formula>Y$9&gt;=20/24</formula>
    </cfRule>
    <cfRule type="expression" dxfId="2413" priority="11">
      <formula>AND(Y$9&gt;=14/24,Y$9&lt;20/24)</formula>
    </cfRule>
    <cfRule type="expression" dxfId="2412" priority="12">
      <formula>AND(Y$9&gt;=8/24,Y$9&lt;14/24)</formula>
    </cfRule>
    <cfRule type="expression" dxfId="2411" priority="13">
      <formula>Y$9&lt;8/24</formula>
    </cfRule>
  </conditionalFormatting>
  <conditionalFormatting sqref="T248">
    <cfRule type="expression" dxfId="2410" priority="126">
      <formula>AX$9&gt;=20/24</formula>
    </cfRule>
    <cfRule type="expression" dxfId="2409" priority="127">
      <formula>AND(AX$9&gt;=14/24,AX$9&lt;20/24)</formula>
    </cfRule>
    <cfRule type="expression" dxfId="2408" priority="128">
      <formula>AND(AX$9&gt;=8/24,AX$9&lt;14/24)</formula>
    </cfRule>
    <cfRule type="expression" dxfId="2407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406" priority="97">
      <formula>AD$9&gt;=20/24</formula>
    </cfRule>
    <cfRule type="expression" dxfId="2405" priority="98">
      <formula>AND(AD$9&gt;=14/24,AD$9&lt;20/24)</formula>
    </cfRule>
    <cfRule type="expression" dxfId="2404" priority="99">
      <formula>AND(AD$9&gt;=8/24,AD$9&lt;14/24)</formula>
    </cfRule>
    <cfRule type="expression" dxfId="2403" priority="100">
      <formula>AD$9&lt;8/24</formula>
    </cfRule>
  </conditionalFormatting>
  <conditionalFormatting sqref="AE61:AF66">
    <cfRule type="expression" dxfId="2402" priority="6">
      <formula>AE$9&gt;=20/24</formula>
    </cfRule>
    <cfRule type="expression" dxfId="2401" priority="7">
      <formula>AND(AE$9&gt;=14/24,AE$9&lt;20/24)</formula>
    </cfRule>
    <cfRule type="expression" dxfId="2400" priority="8">
      <formula>AND(AE$9&gt;=8/24,AE$9&lt;14/24)</formula>
    </cfRule>
    <cfRule type="expression" dxfId="2399" priority="9">
      <formula>AE$9&lt;8/24</formula>
    </cfRule>
  </conditionalFormatting>
  <conditionalFormatting sqref="AG50">
    <cfRule type="expression" dxfId="2398" priority="84">
      <formula>AG50&gt;$AG50</formula>
    </cfRule>
  </conditionalFormatting>
  <conditionalFormatting sqref="AG89">
    <cfRule type="expression" dxfId="2397" priority="85">
      <formula>AG$9&gt;=20/24</formula>
    </cfRule>
    <cfRule type="expression" dxfId="2396" priority="86">
      <formula>AND(AG$9&gt;=14/24,AG$9&lt;20/24)</formula>
    </cfRule>
    <cfRule type="expression" dxfId="2395" priority="87">
      <formula>AND(AG$9&gt;=8/24,AG$9&lt;14/24)</formula>
    </cfRule>
    <cfRule type="expression" dxfId="2394" priority="88">
      <formula>AG$9&lt;8/24</formula>
    </cfRule>
  </conditionalFormatting>
  <conditionalFormatting sqref="AG248">
    <cfRule type="expression" dxfId="2393" priority="118">
      <formula>B$9&gt;=20/24</formula>
    </cfRule>
    <cfRule type="expression" dxfId="2392" priority="119">
      <formula>AND(B$9&gt;=14/24,B$9&lt;20/24)</formula>
    </cfRule>
    <cfRule type="expression" dxfId="2391" priority="120">
      <formula>AND(B$9&gt;=8/24,B$9&lt;14/24)</formula>
    </cfRule>
    <cfRule type="expression" dxfId="2390" priority="121">
      <formula>B$9&lt;8/24</formula>
    </cfRule>
  </conditionalFormatting>
  <conditionalFormatting sqref="AH248:AX248">
    <cfRule type="expression" dxfId="2389" priority="122">
      <formula>AG$9&gt;=20/24</formula>
    </cfRule>
    <cfRule type="expression" dxfId="2388" priority="123">
      <formula>AND(AG$9&gt;=14/24,AG$9&lt;20/24)</formula>
    </cfRule>
    <cfRule type="expression" dxfId="2387" priority="124">
      <formula>AND(AG$9&gt;=8/24,AG$9&lt;14/24)</formula>
    </cfRule>
    <cfRule type="expression" dxfId="2386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385" priority="131">
      <formula>AJ$9&gt;=20/24</formula>
    </cfRule>
    <cfRule type="expression" dxfId="2384" priority="132">
      <formula>AND(AJ$9&gt;=14/24,AJ$9&lt;20/24)</formula>
    </cfRule>
    <cfRule type="expression" dxfId="2383" priority="133">
      <formula>AND(AJ$9&gt;=8/24,AJ$9&lt;14/24)</formula>
    </cfRule>
    <cfRule type="expression" dxfId="2382" priority="134">
      <formula>AJ$9&lt;8/24</formula>
    </cfRule>
  </conditionalFormatting>
  <conditionalFormatting sqref="AL80:AN80 AL86:AN86">
    <cfRule type="expression" dxfId="2381" priority="72">
      <formula>AL$9&gt;=20/24</formula>
    </cfRule>
    <cfRule type="expression" dxfId="2380" priority="73">
      <formula>AND(AL$9&gt;=14/24,AL$9&lt;20/24)</formula>
    </cfRule>
    <cfRule type="expression" dxfId="2379" priority="74">
      <formula>AND(AL$9&gt;=8/24,AL$9&lt;14/24)</formula>
    </cfRule>
    <cfRule type="expression" dxfId="2378" priority="75">
      <formula>AL$9&lt;8/24</formula>
    </cfRule>
  </conditionalFormatting>
  <conditionalFormatting sqref="AN81:AN84">
    <cfRule type="expression" dxfId="2377" priority="68">
      <formula>AN$9&gt;=20/24</formula>
    </cfRule>
    <cfRule type="expression" dxfId="2376" priority="69">
      <formula>AND(AN$9&gt;=14/24,AN$9&lt;20/24)</formula>
    </cfRule>
    <cfRule type="expression" dxfId="2375" priority="70">
      <formula>AND(AN$9&gt;=8/24,AN$9&lt;14/24)</formula>
    </cfRule>
    <cfRule type="expression" dxfId="2374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36FDB-FAC0-4DF8-BA7A-4FB7C2D25846}">
  <sheetPr codeName="Sheet37"/>
  <dimension ref="A1:CJ281"/>
  <sheetViews>
    <sheetView zoomScaleNormal="100" workbookViewId="0">
      <pane xSplit="1" ySplit="10" topLeftCell="B6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N125" sqref="N12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2080/05/13</v>
      </c>
      <c r="C4" s="201"/>
      <c r="D4" s="201"/>
      <c r="E4" s="202" t="str">
        <f ca="1">"2080/"&amp;"05/"&amp;INT(MID(CELL("filename",G6),FIND("]",CELL("filename",G6))+1,200))</f>
        <v>2080/05/13</v>
      </c>
      <c r="F4" s="202"/>
      <c r="G4" s="202"/>
      <c r="H4" s="202" t="str">
        <f ca="1">TEXT(E4,"dddd")</f>
        <v>Monday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26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5</v>
      </c>
      <c r="X5" s="30">
        <f t="shared" si="0"/>
        <v>33.1</v>
      </c>
      <c r="Y5" s="30">
        <f t="shared" si="0"/>
        <v>67.5</v>
      </c>
      <c r="Z5" s="30">
        <f t="shared" si="0"/>
        <v>59.6</v>
      </c>
      <c r="AA5" s="30">
        <f t="shared" si="0"/>
        <v>0</v>
      </c>
      <c r="AB5" s="30">
        <f t="shared" si="0"/>
        <v>25.8</v>
      </c>
      <c r="AC5" s="30">
        <f t="shared" si="0"/>
        <v>25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2076MW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Load=104</v>
      </c>
      <c r="B7" s="35">
        <f t="shared" ref="B7:AF7" si="1">B91</f>
        <v>2152.3399999999997</v>
      </c>
      <c r="C7" s="35">
        <f t="shared" si="1"/>
        <v>103.54</v>
      </c>
      <c r="D7" s="35">
        <f t="shared" si="1"/>
        <v>1904.8400000000001</v>
      </c>
      <c r="E7" s="35">
        <f t="shared" si="1"/>
        <v>1900.14</v>
      </c>
      <c r="F7" s="35">
        <f t="shared" si="1"/>
        <v>1970.54</v>
      </c>
      <c r="G7" s="35">
        <f t="shared" si="1"/>
        <v>2050.7400000000002</v>
      </c>
      <c r="H7" s="35">
        <f t="shared" si="1"/>
        <v>2050.84</v>
      </c>
      <c r="I7" s="35">
        <f t="shared" si="1"/>
        <v>2045.84</v>
      </c>
      <c r="J7" s="35">
        <f t="shared" si="1"/>
        <v>2045.84</v>
      </c>
      <c r="K7" s="35">
        <f t="shared" si="1"/>
        <v>2075.44</v>
      </c>
      <c r="L7" s="35">
        <f t="shared" si="1"/>
        <v>2076.1400000000003</v>
      </c>
      <c r="M7" s="35">
        <f t="shared" si="1"/>
        <v>2054.1400000000003</v>
      </c>
      <c r="N7" s="35">
        <f>N91</f>
        <v>2026.1399999999999</v>
      </c>
      <c r="O7" s="35">
        <f t="shared" si="1"/>
        <v>2023.64</v>
      </c>
      <c r="P7" s="35">
        <f t="shared" si="1"/>
        <v>2003.04</v>
      </c>
      <c r="Q7" s="35">
        <f t="shared" si="1"/>
        <v>1972.8399999999997</v>
      </c>
      <c r="R7" s="35">
        <f t="shared" si="1"/>
        <v>1956.0399999999997</v>
      </c>
      <c r="S7" s="35">
        <f t="shared" si="1"/>
        <v>1984.7399999999998</v>
      </c>
      <c r="T7" s="35">
        <f t="shared" si="1"/>
        <v>1986.8400000000001</v>
      </c>
      <c r="U7" s="35">
        <f t="shared" si="1"/>
        <v>1880.94</v>
      </c>
      <c r="V7" s="35">
        <f t="shared" si="1"/>
        <v>1882.44</v>
      </c>
      <c r="W7" s="35">
        <f t="shared" si="1"/>
        <v>1902.44</v>
      </c>
      <c r="X7" s="35">
        <f t="shared" si="1"/>
        <v>1985.24</v>
      </c>
      <c r="Y7" s="35">
        <f t="shared" si="1"/>
        <v>2039.8399999999997</v>
      </c>
      <c r="Z7" s="35">
        <f t="shared" si="1"/>
        <v>2099.54</v>
      </c>
      <c r="AA7" s="35">
        <f t="shared" si="1"/>
        <v>2080.7399999999998</v>
      </c>
      <c r="AB7" s="35">
        <f t="shared" si="1"/>
        <v>2023.4399999999998</v>
      </c>
      <c r="AC7" s="35">
        <f t="shared" si="1"/>
        <v>2016.4399999999998</v>
      </c>
      <c r="AD7" s="35">
        <f t="shared" si="1"/>
        <v>1994.2400000000002</v>
      </c>
      <c r="AE7" s="35">
        <f t="shared" si="1"/>
        <v>2041.84</v>
      </c>
      <c r="AF7" s="35">
        <f t="shared" si="1"/>
        <v>2014.2399999999998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 t="s">
        <v>277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90.2</v>
      </c>
      <c r="M11" s="45">
        <v>90.1</v>
      </c>
      <c r="N11" s="45">
        <v>90.1</v>
      </c>
      <c r="O11" s="45">
        <v>85.4</v>
      </c>
      <c r="P11" s="45">
        <v>85.4</v>
      </c>
      <c r="Q11" s="45">
        <v>85.4</v>
      </c>
      <c r="R11" s="45">
        <v>85.4</v>
      </c>
      <c r="S11" s="45">
        <v>85.4</v>
      </c>
      <c r="T11" s="45">
        <v>85.4</v>
      </c>
      <c r="U11" s="45">
        <v>85.4</v>
      </c>
      <c r="V11" s="45">
        <v>85.6</v>
      </c>
      <c r="W11" s="45">
        <v>85.6</v>
      </c>
      <c r="X11" s="45">
        <v>85.6</v>
      </c>
      <c r="Y11" s="45">
        <v>85.6</v>
      </c>
      <c r="Z11" s="45">
        <v>85.6</v>
      </c>
      <c r="AA11" s="45">
        <v>85.6</v>
      </c>
      <c r="AB11" s="45">
        <v>85.6</v>
      </c>
      <c r="AC11" s="45">
        <v>85.6</v>
      </c>
      <c r="AD11" s="45">
        <v>85.6</v>
      </c>
      <c r="AE11" s="45">
        <v>85.5</v>
      </c>
      <c r="AF11" s="45">
        <v>85.5</v>
      </c>
      <c r="AG11" s="46">
        <v>86</v>
      </c>
      <c r="AH11" s="47">
        <f t="shared" ref="AH11:AH76" si="2">MAX(B11:AF11)</f>
        <v>90.2</v>
      </c>
      <c r="AI11" s="48">
        <f t="shared" ref="AI11:AI76" si="3">MIN(B11:AF11)</f>
        <v>85.4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 t="s">
        <v>278</v>
      </c>
      <c r="D12" s="45">
        <v>0</v>
      </c>
      <c r="E12" s="45">
        <v>0</v>
      </c>
      <c r="F12" s="45">
        <v>0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0</v>
      </c>
      <c r="O12" s="45">
        <v>0</v>
      </c>
      <c r="P12" s="45">
        <v>0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54.2</v>
      </c>
      <c r="C13" s="45" t="s">
        <v>277</v>
      </c>
      <c r="D13" s="45">
        <v>54.2</v>
      </c>
      <c r="E13" s="45">
        <v>54.2</v>
      </c>
      <c r="F13" s="45">
        <v>54.2</v>
      </c>
      <c r="G13" s="45">
        <v>54.2</v>
      </c>
      <c r="H13" s="45">
        <v>54.2</v>
      </c>
      <c r="I13" s="45">
        <v>54.2</v>
      </c>
      <c r="J13" s="45">
        <v>54.2</v>
      </c>
      <c r="K13" s="45">
        <v>54.2</v>
      </c>
      <c r="L13" s="45">
        <v>54.2</v>
      </c>
      <c r="M13" s="45">
        <v>54.1</v>
      </c>
      <c r="N13" s="45">
        <v>54.1</v>
      </c>
      <c r="O13" s="45">
        <v>54.3</v>
      </c>
      <c r="P13" s="45">
        <v>54.3</v>
      </c>
      <c r="Q13" s="45">
        <v>54.3</v>
      </c>
      <c r="R13" s="45">
        <v>54</v>
      </c>
      <c r="S13" s="45">
        <v>54</v>
      </c>
      <c r="T13" s="45">
        <v>54</v>
      </c>
      <c r="U13" s="45">
        <v>54</v>
      </c>
      <c r="V13" s="45">
        <v>54</v>
      </c>
      <c r="W13" s="45">
        <v>54</v>
      </c>
      <c r="X13" s="45">
        <v>54</v>
      </c>
      <c r="Y13" s="45">
        <v>54</v>
      </c>
      <c r="Z13" s="45">
        <v>54</v>
      </c>
      <c r="AA13" s="45">
        <v>54</v>
      </c>
      <c r="AB13" s="45">
        <v>54</v>
      </c>
      <c r="AC13" s="45">
        <v>54</v>
      </c>
      <c r="AD13" s="45">
        <v>54</v>
      </c>
      <c r="AE13" s="45">
        <v>54.4</v>
      </c>
      <c r="AF13" s="45">
        <v>52.5</v>
      </c>
      <c r="AG13" s="46">
        <v>52.4</v>
      </c>
      <c r="AH13" s="47">
        <f t="shared" si="2"/>
        <v>54.4</v>
      </c>
      <c r="AI13" s="48">
        <f t="shared" si="3"/>
        <v>52.5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 t="s">
        <v>275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50.4</v>
      </c>
      <c r="N14" s="58">
        <v>50.4</v>
      </c>
      <c r="O14" s="58">
        <v>50.5</v>
      </c>
      <c r="P14" s="58">
        <v>50.5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45">
        <v>50.5</v>
      </c>
      <c r="AA14" s="45">
        <v>50.5</v>
      </c>
      <c r="AB14" s="45">
        <v>50.5</v>
      </c>
      <c r="AC14" s="45">
        <v>50.5</v>
      </c>
      <c r="AD14" s="45">
        <v>50.5</v>
      </c>
      <c r="AE14" s="45">
        <v>50.4</v>
      </c>
      <c r="AF14" s="45">
        <v>50.7</v>
      </c>
      <c r="AG14" s="49">
        <v>50</v>
      </c>
      <c r="AH14" s="47">
        <f t="shared" si="2"/>
        <v>50.7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46.3</v>
      </c>
      <c r="C15" s="45" t="s">
        <v>279</v>
      </c>
      <c r="D15" s="45">
        <v>30</v>
      </c>
      <c r="E15" s="45">
        <v>30</v>
      </c>
      <c r="F15" s="45">
        <v>37</v>
      </c>
      <c r="G15" s="45">
        <v>46.2</v>
      </c>
      <c r="H15" s="45">
        <v>46.3</v>
      </c>
      <c r="I15" s="45">
        <v>46.3</v>
      </c>
      <c r="J15" s="45">
        <v>46.3</v>
      </c>
      <c r="K15" s="45">
        <v>46.3</v>
      </c>
      <c r="L15" s="45">
        <v>46.3</v>
      </c>
      <c r="M15" s="45">
        <v>46.3</v>
      </c>
      <c r="N15" s="45">
        <v>46.3</v>
      </c>
      <c r="O15" s="45">
        <v>46.2</v>
      </c>
      <c r="P15" s="45">
        <v>46.2</v>
      </c>
      <c r="Q15" s="45">
        <v>46.2</v>
      </c>
      <c r="R15" s="45">
        <v>16.3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37.5</v>
      </c>
      <c r="AF15" s="45">
        <v>37.6</v>
      </c>
      <c r="AG15" s="49">
        <v>45</v>
      </c>
      <c r="AH15" s="47">
        <f t="shared" si="2"/>
        <v>46.3</v>
      </c>
      <c r="AI15" s="48">
        <f t="shared" si="3"/>
        <v>16.3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 t="s">
        <v>280</v>
      </c>
      <c r="D16" s="45">
        <v>20</v>
      </c>
      <c r="E16" s="45">
        <v>20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0</v>
      </c>
      <c r="V16" s="45">
        <v>0</v>
      </c>
      <c r="W16" s="45">
        <v>0</v>
      </c>
      <c r="X16" s="45">
        <v>0</v>
      </c>
      <c r="Y16" s="45">
        <v>5</v>
      </c>
      <c r="Z16" s="45">
        <v>10</v>
      </c>
      <c r="AA16" s="45">
        <v>10</v>
      </c>
      <c r="AB16" s="45">
        <v>10</v>
      </c>
      <c r="AC16" s="45">
        <v>10</v>
      </c>
      <c r="AD16" s="45">
        <v>10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 t="s">
        <v>308</v>
      </c>
      <c r="D17" s="45">
        <v>20</v>
      </c>
      <c r="E17" s="45">
        <v>20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28.4</v>
      </c>
      <c r="S17" s="45">
        <v>28.4</v>
      </c>
      <c r="T17" s="45">
        <v>28.4</v>
      </c>
      <c r="U17" s="45">
        <v>12</v>
      </c>
      <c r="V17" s="45">
        <v>12</v>
      </c>
      <c r="W17" s="45">
        <v>12</v>
      </c>
      <c r="X17" s="45">
        <v>11</v>
      </c>
      <c r="Y17" s="45">
        <v>11</v>
      </c>
      <c r="Z17" s="45">
        <v>11</v>
      </c>
      <c r="AA17" s="45">
        <v>11</v>
      </c>
      <c r="AB17" s="45">
        <v>11</v>
      </c>
      <c r="AC17" s="45">
        <v>11</v>
      </c>
      <c r="AD17" s="45">
        <v>11</v>
      </c>
      <c r="AE17" s="45">
        <v>30</v>
      </c>
      <c r="AF17" s="45">
        <v>30</v>
      </c>
      <c r="AG17" s="49">
        <v>42</v>
      </c>
      <c r="AH17" s="47">
        <f t="shared" si="2"/>
        <v>30</v>
      </c>
      <c r="AI17" s="48">
        <f t="shared" si="3"/>
        <v>11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 t="s">
        <v>276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 t="s">
        <v>277</v>
      </c>
      <c r="D19" s="45">
        <v>15</v>
      </c>
      <c r="E19" s="45">
        <v>15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15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10</v>
      </c>
      <c r="C20" s="45" t="s">
        <v>275</v>
      </c>
      <c r="D20" s="45">
        <v>0</v>
      </c>
      <c r="E20" s="45">
        <v>0</v>
      </c>
      <c r="F20" s="45">
        <v>0</v>
      </c>
      <c r="G20" s="45">
        <v>25</v>
      </c>
      <c r="H20" s="45">
        <v>25</v>
      </c>
      <c r="I20" s="45">
        <v>20</v>
      </c>
      <c r="J20" s="45">
        <v>20</v>
      </c>
      <c r="K20" s="45">
        <v>25</v>
      </c>
      <c r="L20" s="45">
        <v>25</v>
      </c>
      <c r="M20" s="45">
        <v>25</v>
      </c>
      <c r="N20" s="45">
        <v>5</v>
      </c>
      <c r="O20" s="45">
        <v>5</v>
      </c>
      <c r="P20" s="45">
        <v>5</v>
      </c>
      <c r="Q20" s="45">
        <v>15.6</v>
      </c>
      <c r="R20" s="45">
        <v>5.7</v>
      </c>
      <c r="S20" s="45">
        <v>5.7</v>
      </c>
      <c r="T20" s="45">
        <v>5.7</v>
      </c>
      <c r="U20" s="45">
        <v>5.7</v>
      </c>
      <c r="V20" s="45">
        <v>5.7</v>
      </c>
      <c r="W20" s="45">
        <v>5.7</v>
      </c>
      <c r="X20" s="45">
        <v>29.9</v>
      </c>
      <c r="Y20" s="45">
        <v>29.9</v>
      </c>
      <c r="Z20" s="45">
        <v>29.9</v>
      </c>
      <c r="AA20" s="45">
        <v>29.9</v>
      </c>
      <c r="AB20" s="45">
        <v>29.9</v>
      </c>
      <c r="AC20" s="45">
        <v>29.9</v>
      </c>
      <c r="AD20" s="45">
        <v>29.9</v>
      </c>
      <c r="AE20" s="45">
        <v>10</v>
      </c>
      <c r="AF20" s="45">
        <v>0</v>
      </c>
      <c r="AG20" s="51">
        <v>30</v>
      </c>
      <c r="AH20" s="47">
        <f t="shared" si="2"/>
        <v>29.9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</v>
      </c>
      <c r="C21" s="45" t="s">
        <v>309</v>
      </c>
      <c r="D21" s="45">
        <v>33</v>
      </c>
      <c r="E21" s="45">
        <v>33</v>
      </c>
      <c r="F21" s="45">
        <v>33</v>
      </c>
      <c r="G21" s="45">
        <v>33</v>
      </c>
      <c r="H21" s="45">
        <v>33</v>
      </c>
      <c r="I21" s="45">
        <v>33</v>
      </c>
      <c r="J21" s="45">
        <v>33</v>
      </c>
      <c r="K21" s="45">
        <v>33</v>
      </c>
      <c r="L21" s="45">
        <v>33</v>
      </c>
      <c r="M21" s="45">
        <v>33</v>
      </c>
      <c r="N21" s="45">
        <v>33</v>
      </c>
      <c r="O21" s="45">
        <v>33</v>
      </c>
      <c r="P21" s="45">
        <v>24</v>
      </c>
      <c r="Q21" s="45">
        <v>24</v>
      </c>
      <c r="R21" s="45">
        <v>24.7</v>
      </c>
      <c r="S21" s="45">
        <v>24.7</v>
      </c>
      <c r="T21" s="45">
        <v>26</v>
      </c>
      <c r="U21" s="45">
        <v>26</v>
      </c>
      <c r="V21" s="45">
        <v>26</v>
      </c>
      <c r="W21" s="45">
        <v>26</v>
      </c>
      <c r="X21" s="45">
        <v>26</v>
      </c>
      <c r="Y21" s="45">
        <v>26</v>
      </c>
      <c r="Z21" s="45">
        <v>26</v>
      </c>
      <c r="AA21" s="45">
        <v>26</v>
      </c>
      <c r="AB21" s="45">
        <v>26</v>
      </c>
      <c r="AC21" s="45">
        <v>26</v>
      </c>
      <c r="AD21" s="45">
        <v>28.6</v>
      </c>
      <c r="AE21" s="45">
        <v>30</v>
      </c>
      <c r="AF21" s="45">
        <v>30</v>
      </c>
      <c r="AG21" s="49">
        <v>24.2</v>
      </c>
      <c r="AH21" s="47">
        <f t="shared" si="2"/>
        <v>33</v>
      </c>
      <c r="AI21" s="48">
        <f t="shared" si="3"/>
        <v>24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 t="s">
        <v>274</v>
      </c>
      <c r="D22" s="45">
        <v>28</v>
      </c>
      <c r="E22" s="45">
        <v>28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20</v>
      </c>
      <c r="P22" s="45">
        <v>20</v>
      </c>
      <c r="Q22" s="45">
        <v>20</v>
      </c>
      <c r="R22" s="45">
        <v>21.1</v>
      </c>
      <c r="S22" s="45">
        <v>21.1</v>
      </c>
      <c r="T22" s="45">
        <v>21.1</v>
      </c>
      <c r="U22" s="45">
        <v>21.1</v>
      </c>
      <c r="V22" s="45">
        <v>21.1</v>
      </c>
      <c r="W22" s="45">
        <v>21.1</v>
      </c>
      <c r="X22" s="45">
        <v>21.1</v>
      </c>
      <c r="Y22" s="45">
        <v>21.1</v>
      </c>
      <c r="Z22" s="45">
        <v>21.1</v>
      </c>
      <c r="AA22" s="45">
        <v>21.1</v>
      </c>
      <c r="AB22" s="45">
        <v>21.1</v>
      </c>
      <c r="AC22" s="45">
        <v>21.1</v>
      </c>
      <c r="AD22" s="45">
        <v>21.1</v>
      </c>
      <c r="AE22" s="45">
        <v>28.5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10</v>
      </c>
      <c r="C23" s="45" t="s">
        <v>287</v>
      </c>
      <c r="D23" s="45">
        <v>0</v>
      </c>
      <c r="E23" s="45">
        <v>0</v>
      </c>
      <c r="F23" s="45">
        <v>0</v>
      </c>
      <c r="G23" s="45">
        <v>14</v>
      </c>
      <c r="H23" s="45">
        <v>14</v>
      </c>
      <c r="I23" s="45">
        <v>14</v>
      </c>
      <c r="J23" s="45">
        <v>14</v>
      </c>
      <c r="K23" s="45">
        <v>20</v>
      </c>
      <c r="L23" s="45">
        <v>20</v>
      </c>
      <c r="M23" s="45">
        <v>20</v>
      </c>
      <c r="N23" s="45">
        <v>0</v>
      </c>
      <c r="O23" s="45">
        <v>0</v>
      </c>
      <c r="P23" s="45">
        <v>0</v>
      </c>
      <c r="Q23" s="45">
        <v>5</v>
      </c>
      <c r="R23" s="45">
        <v>5</v>
      </c>
      <c r="S23" s="45">
        <v>5</v>
      </c>
      <c r="T23" s="45">
        <v>5</v>
      </c>
      <c r="U23" s="45">
        <v>5</v>
      </c>
      <c r="V23" s="45">
        <v>5</v>
      </c>
      <c r="W23" s="45">
        <v>13.5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27</v>
      </c>
      <c r="AE23" s="45">
        <v>5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25.2</v>
      </c>
      <c r="C24" s="45"/>
      <c r="D24" s="45">
        <v>16</v>
      </c>
      <c r="E24" s="45">
        <v>16</v>
      </c>
      <c r="F24" s="45">
        <v>26</v>
      </c>
      <c r="G24" s="45">
        <v>26</v>
      </c>
      <c r="H24" s="45">
        <v>26</v>
      </c>
      <c r="I24" s="45">
        <v>26</v>
      </c>
      <c r="J24" s="45">
        <v>26</v>
      </c>
      <c r="K24" s="45">
        <v>26</v>
      </c>
      <c r="L24" s="45">
        <v>26</v>
      </c>
      <c r="M24" s="45">
        <v>26</v>
      </c>
      <c r="N24" s="45">
        <v>26</v>
      </c>
      <c r="O24" s="45">
        <v>26</v>
      </c>
      <c r="P24" s="45">
        <v>24.7</v>
      </c>
      <c r="Q24" s="45">
        <v>24.7</v>
      </c>
      <c r="R24" s="45">
        <v>24.8</v>
      </c>
      <c r="S24" s="45">
        <v>24.8</v>
      </c>
      <c r="T24" s="45">
        <v>24.8</v>
      </c>
      <c r="U24" s="45">
        <v>0</v>
      </c>
      <c r="V24" s="45">
        <v>0</v>
      </c>
      <c r="W24" s="45">
        <v>0</v>
      </c>
      <c r="X24" s="45">
        <v>0</v>
      </c>
      <c r="Y24" s="45">
        <v>13</v>
      </c>
      <c r="Z24" s="45">
        <v>13</v>
      </c>
      <c r="AA24" s="45">
        <v>13</v>
      </c>
      <c r="AB24" s="45">
        <v>13</v>
      </c>
      <c r="AC24" s="45">
        <v>13</v>
      </c>
      <c r="AD24" s="45">
        <v>13</v>
      </c>
      <c r="AE24" s="45">
        <v>26</v>
      </c>
      <c r="AF24" s="45">
        <v>24.5</v>
      </c>
      <c r="AG24" s="49">
        <v>25</v>
      </c>
      <c r="AH24" s="47">
        <f t="shared" si="2"/>
        <v>26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/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/>
      <c r="D26" s="45">
        <v>10</v>
      </c>
      <c r="E26" s="45">
        <v>10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10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25</v>
      </c>
      <c r="C27" s="45"/>
      <c r="D27" s="45">
        <v>0</v>
      </c>
      <c r="E27" s="45">
        <v>0</v>
      </c>
      <c r="F27" s="45">
        <v>0</v>
      </c>
      <c r="G27" s="45">
        <v>13</v>
      </c>
      <c r="H27" s="45">
        <v>13</v>
      </c>
      <c r="I27" s="45">
        <v>13</v>
      </c>
      <c r="J27" s="45">
        <v>13</v>
      </c>
      <c r="K27" s="45">
        <v>18</v>
      </c>
      <c r="L27" s="45">
        <v>18</v>
      </c>
      <c r="M27" s="45">
        <v>18</v>
      </c>
      <c r="N27" s="45">
        <v>0</v>
      </c>
      <c r="O27" s="45">
        <v>0</v>
      </c>
      <c r="P27" s="45">
        <v>0</v>
      </c>
      <c r="Q27" s="45">
        <v>5</v>
      </c>
      <c r="R27" s="45">
        <v>5</v>
      </c>
      <c r="S27" s="45">
        <v>5</v>
      </c>
      <c r="T27" s="45">
        <v>5</v>
      </c>
      <c r="U27" s="45">
        <v>5</v>
      </c>
      <c r="V27" s="45">
        <v>5</v>
      </c>
      <c r="W27" s="45">
        <v>12.5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5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24.8</v>
      </c>
      <c r="C28" s="45"/>
      <c r="D28" s="45">
        <v>24.8</v>
      </c>
      <c r="E28" s="45">
        <v>24.8</v>
      </c>
      <c r="F28" s="45">
        <v>24.8</v>
      </c>
      <c r="G28" s="45">
        <v>24.8</v>
      </c>
      <c r="H28" s="45">
        <v>24.8</v>
      </c>
      <c r="I28" s="45">
        <v>24.8</v>
      </c>
      <c r="J28" s="45">
        <v>24.8</v>
      </c>
      <c r="K28" s="45">
        <v>24.8</v>
      </c>
      <c r="L28" s="45">
        <v>24.8</v>
      </c>
      <c r="M28" s="45">
        <v>24.8</v>
      </c>
      <c r="N28" s="45">
        <v>24.8</v>
      </c>
      <c r="O28" s="45">
        <v>24.8</v>
      </c>
      <c r="P28" s="45">
        <v>24.8</v>
      </c>
      <c r="Q28" s="45">
        <v>24.8</v>
      </c>
      <c r="R28" s="45">
        <v>24.9</v>
      </c>
      <c r="S28" s="45">
        <v>24.9</v>
      </c>
      <c r="T28" s="45">
        <v>24.9</v>
      </c>
      <c r="U28" s="45">
        <v>24.9</v>
      </c>
      <c r="V28" s="45">
        <v>24.9</v>
      </c>
      <c r="W28" s="45">
        <v>24.9</v>
      </c>
      <c r="X28" s="45">
        <v>24.9</v>
      </c>
      <c r="Y28" s="45">
        <v>24.9</v>
      </c>
      <c r="Z28" s="45">
        <v>24.9</v>
      </c>
      <c r="AA28" s="45">
        <v>24.9</v>
      </c>
      <c r="AB28" s="45">
        <v>24.9</v>
      </c>
      <c r="AC28" s="45">
        <v>24.9</v>
      </c>
      <c r="AD28" s="45">
        <v>24.9</v>
      </c>
      <c r="AE28" s="45">
        <v>24.9</v>
      </c>
      <c r="AF28" s="45">
        <v>24.9</v>
      </c>
      <c r="AG28" s="49">
        <v>23.5</v>
      </c>
      <c r="AH28" s="47">
        <f t="shared" si="2"/>
        <v>24.9</v>
      </c>
      <c r="AI28" s="48">
        <f t="shared" si="3"/>
        <v>24.8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/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/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/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/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/>
      <c r="D33" s="45">
        <v>4</v>
      </c>
      <c r="E33" s="45">
        <v>4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5</v>
      </c>
      <c r="Q33" s="45">
        <v>5</v>
      </c>
      <c r="R33" s="45">
        <v>4</v>
      </c>
      <c r="S33" s="45">
        <v>4</v>
      </c>
      <c r="T33" s="45">
        <v>4</v>
      </c>
      <c r="U33" s="45">
        <v>0</v>
      </c>
      <c r="V33" s="45">
        <v>0</v>
      </c>
      <c r="W33" s="45">
        <v>0</v>
      </c>
      <c r="X33" s="45">
        <v>0</v>
      </c>
      <c r="Y33" s="45">
        <v>0</v>
      </c>
      <c r="Z33" s="45">
        <v>0</v>
      </c>
      <c r="AA33" s="45">
        <v>0</v>
      </c>
      <c r="AB33" s="45">
        <v>0</v>
      </c>
      <c r="AC33" s="45">
        <v>0</v>
      </c>
      <c r="AD33" s="45">
        <v>0</v>
      </c>
      <c r="AE33" s="45">
        <v>0</v>
      </c>
      <c r="AF33" s="45">
        <v>0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/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3.5</v>
      </c>
      <c r="P34" s="45">
        <v>3.5</v>
      </c>
      <c r="Q34" s="45">
        <v>3.5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4</v>
      </c>
      <c r="Z34" s="45">
        <v>4</v>
      </c>
      <c r="AA34" s="45">
        <v>4</v>
      </c>
      <c r="AB34" s="45">
        <v>4</v>
      </c>
      <c r="AC34" s="45">
        <v>4</v>
      </c>
      <c r="AD34" s="45">
        <v>4</v>
      </c>
      <c r="AE34" s="45">
        <v>2</v>
      </c>
      <c r="AF34" s="45">
        <v>2</v>
      </c>
      <c r="AG34" s="49">
        <v>18</v>
      </c>
      <c r="AH34" s="47">
        <f t="shared" si="2"/>
        <v>4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/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/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6.2</v>
      </c>
      <c r="C37" s="45"/>
      <c r="D37" s="45">
        <v>6.2</v>
      </c>
      <c r="E37" s="45">
        <v>6.2</v>
      </c>
      <c r="F37" s="45">
        <v>6.2</v>
      </c>
      <c r="G37" s="45">
        <v>6.2</v>
      </c>
      <c r="H37" s="45">
        <v>6.2</v>
      </c>
      <c r="I37" s="45">
        <v>6.2</v>
      </c>
      <c r="J37" s="45">
        <v>6.2</v>
      </c>
      <c r="K37" s="45">
        <v>6.2</v>
      </c>
      <c r="L37" s="45">
        <v>6.2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45">
        <v>0</v>
      </c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9">
        <v>13.6</v>
      </c>
      <c r="AH37" s="47">
        <f t="shared" si="2"/>
        <v>6.2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13</v>
      </c>
      <c r="C38" s="45"/>
      <c r="D38" s="45">
        <v>13</v>
      </c>
      <c r="E38" s="45">
        <v>13</v>
      </c>
      <c r="F38" s="45">
        <v>13</v>
      </c>
      <c r="G38" s="45">
        <v>13</v>
      </c>
      <c r="H38" s="45">
        <v>13</v>
      </c>
      <c r="I38" s="45">
        <v>13</v>
      </c>
      <c r="J38" s="45">
        <v>13</v>
      </c>
      <c r="K38" s="45">
        <v>13</v>
      </c>
      <c r="L38" s="45">
        <v>13</v>
      </c>
      <c r="M38" s="45">
        <v>13</v>
      </c>
      <c r="N38" s="45">
        <v>13</v>
      </c>
      <c r="O38" s="45">
        <v>13</v>
      </c>
      <c r="P38" s="45">
        <v>13</v>
      </c>
      <c r="Q38" s="45">
        <v>13</v>
      </c>
      <c r="R38" s="45">
        <v>13</v>
      </c>
      <c r="S38" s="45">
        <v>13</v>
      </c>
      <c r="T38" s="45">
        <v>13</v>
      </c>
      <c r="U38" s="45">
        <v>13</v>
      </c>
      <c r="V38" s="45">
        <v>13</v>
      </c>
      <c r="W38" s="45">
        <v>13</v>
      </c>
      <c r="X38" s="45">
        <v>13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12</v>
      </c>
      <c r="AF38" s="45">
        <v>12</v>
      </c>
      <c r="AG38" s="49">
        <v>13</v>
      </c>
      <c r="AH38" s="47">
        <f t="shared" si="2"/>
        <v>13</v>
      </c>
      <c r="AI38" s="48">
        <f t="shared" si="3"/>
        <v>0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12</v>
      </c>
      <c r="C39" s="45"/>
      <c r="D39" s="45">
        <v>0</v>
      </c>
      <c r="E39" s="45">
        <v>0</v>
      </c>
      <c r="F39" s="45">
        <v>0</v>
      </c>
      <c r="G39" s="45">
        <v>6</v>
      </c>
      <c r="H39" s="45">
        <v>6</v>
      </c>
      <c r="I39" s="45">
        <v>6</v>
      </c>
      <c r="J39" s="45">
        <v>6</v>
      </c>
      <c r="K39" s="45">
        <v>9</v>
      </c>
      <c r="L39" s="45">
        <v>9</v>
      </c>
      <c r="M39" s="45">
        <v>9</v>
      </c>
      <c r="N39" s="45">
        <v>0</v>
      </c>
      <c r="O39" s="45">
        <v>0</v>
      </c>
      <c r="P39" s="45">
        <v>0</v>
      </c>
      <c r="Q39" s="45">
        <v>2</v>
      </c>
      <c r="R39" s="45">
        <v>2</v>
      </c>
      <c r="S39" s="45">
        <v>2</v>
      </c>
      <c r="T39" s="45">
        <v>2</v>
      </c>
      <c r="U39" s="45">
        <v>2</v>
      </c>
      <c r="V39" s="45">
        <v>2</v>
      </c>
      <c r="W39" s="45">
        <v>6</v>
      </c>
      <c r="X39" s="45">
        <v>12</v>
      </c>
      <c r="Y39" s="45">
        <v>12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3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9.3000000000000007</v>
      </c>
      <c r="C40" s="45"/>
      <c r="D40" s="45">
        <v>9.3000000000000007</v>
      </c>
      <c r="E40" s="45">
        <v>9.3000000000000007</v>
      </c>
      <c r="F40" s="45">
        <v>9.3000000000000007</v>
      </c>
      <c r="G40" s="45">
        <v>9.3000000000000007</v>
      </c>
      <c r="H40" s="45">
        <v>9.3000000000000007</v>
      </c>
      <c r="I40" s="45">
        <v>9.3000000000000007</v>
      </c>
      <c r="J40" s="45">
        <v>9.3000000000000007</v>
      </c>
      <c r="K40" s="45">
        <v>9.3000000000000007</v>
      </c>
      <c r="L40" s="45">
        <v>9.3000000000000007</v>
      </c>
      <c r="M40" s="45">
        <v>9.3000000000000007</v>
      </c>
      <c r="N40" s="45">
        <v>9.3000000000000007</v>
      </c>
      <c r="O40" s="45">
        <v>9.3000000000000007</v>
      </c>
      <c r="P40" s="45">
        <v>9.3000000000000007</v>
      </c>
      <c r="Q40" s="45">
        <v>9.3000000000000007</v>
      </c>
      <c r="R40" s="45">
        <v>9</v>
      </c>
      <c r="S40" s="45">
        <v>9</v>
      </c>
      <c r="T40" s="45">
        <v>9</v>
      </c>
      <c r="U40" s="45">
        <v>9</v>
      </c>
      <c r="V40" s="45">
        <v>9</v>
      </c>
      <c r="W40" s="45">
        <v>9</v>
      </c>
      <c r="X40" s="45">
        <v>9</v>
      </c>
      <c r="Y40" s="45">
        <v>9</v>
      </c>
      <c r="Z40" s="45">
        <v>9</v>
      </c>
      <c r="AA40" s="45">
        <v>9</v>
      </c>
      <c r="AB40" s="45">
        <v>9</v>
      </c>
      <c r="AC40" s="45">
        <v>9</v>
      </c>
      <c r="AD40" s="45">
        <v>9</v>
      </c>
      <c r="AE40" s="45">
        <v>9</v>
      </c>
      <c r="AF40" s="45">
        <v>9</v>
      </c>
      <c r="AG40" s="49">
        <v>12</v>
      </c>
      <c r="AH40" s="47">
        <f t="shared" si="2"/>
        <v>9.3000000000000007</v>
      </c>
      <c r="AI40" s="48">
        <f t="shared" si="3"/>
        <v>9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5</v>
      </c>
      <c r="C41" s="45"/>
      <c r="D41" s="45">
        <v>5</v>
      </c>
      <c r="E41" s="45">
        <v>5</v>
      </c>
      <c r="F41" s="45">
        <v>5</v>
      </c>
      <c r="G41" s="45">
        <v>5</v>
      </c>
      <c r="H41" s="45">
        <v>5</v>
      </c>
      <c r="I41" s="45">
        <v>5</v>
      </c>
      <c r="J41" s="45">
        <v>5</v>
      </c>
      <c r="K41" s="45">
        <v>5</v>
      </c>
      <c r="L41" s="45">
        <v>5</v>
      </c>
      <c r="M41" s="45">
        <v>5</v>
      </c>
      <c r="N41" s="45">
        <v>5</v>
      </c>
      <c r="O41" s="45">
        <v>5</v>
      </c>
      <c r="P41" s="45">
        <v>5</v>
      </c>
      <c r="Q41" s="45">
        <v>5</v>
      </c>
      <c r="R41" s="45">
        <v>5</v>
      </c>
      <c r="S41" s="45">
        <v>5</v>
      </c>
      <c r="T41" s="45">
        <v>5</v>
      </c>
      <c r="U41" s="45">
        <v>5</v>
      </c>
      <c r="V41" s="45">
        <v>5</v>
      </c>
      <c r="W41" s="45">
        <v>5</v>
      </c>
      <c r="X41" s="45">
        <v>5</v>
      </c>
      <c r="Y41" s="45">
        <v>5</v>
      </c>
      <c r="Z41" s="45">
        <v>5</v>
      </c>
      <c r="AA41" s="45">
        <v>5</v>
      </c>
      <c r="AB41" s="45">
        <v>5</v>
      </c>
      <c r="AC41" s="45">
        <v>5</v>
      </c>
      <c r="AD41" s="45">
        <v>5</v>
      </c>
      <c r="AE41" s="45">
        <v>5</v>
      </c>
      <c r="AF41" s="45">
        <v>5</v>
      </c>
      <c r="AG41" s="49">
        <v>12</v>
      </c>
      <c r="AH41" s="47">
        <f t="shared" si="2"/>
        <v>5</v>
      </c>
      <c r="AI41" s="48">
        <f t="shared" si="3"/>
        <v>5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/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/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0</v>
      </c>
      <c r="Z43" s="45">
        <v>0</v>
      </c>
      <c r="AA43" s="45">
        <v>0</v>
      </c>
      <c r="AB43" s="45">
        <v>0</v>
      </c>
      <c r="AC43" s="45">
        <v>0</v>
      </c>
      <c r="AD43" s="45">
        <v>0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/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4</v>
      </c>
      <c r="C45" s="45"/>
      <c r="D45" s="45">
        <v>4</v>
      </c>
      <c r="E45" s="45">
        <v>4</v>
      </c>
      <c r="F45" s="45">
        <v>4</v>
      </c>
      <c r="G45" s="45">
        <v>4</v>
      </c>
      <c r="H45" s="45">
        <v>4</v>
      </c>
      <c r="I45" s="45">
        <v>4</v>
      </c>
      <c r="J45" s="45">
        <v>4</v>
      </c>
      <c r="K45" s="45">
        <v>4</v>
      </c>
      <c r="L45" s="45">
        <v>4</v>
      </c>
      <c r="M45" s="45">
        <v>9.5</v>
      </c>
      <c r="N45" s="45">
        <v>9.5</v>
      </c>
      <c r="O45" s="45">
        <v>9.5</v>
      </c>
      <c r="P45" s="45">
        <v>9.5</v>
      </c>
      <c r="Q45" s="45">
        <v>9.5</v>
      </c>
      <c r="R45" s="45">
        <v>9.5</v>
      </c>
      <c r="S45" s="45">
        <v>9.5</v>
      </c>
      <c r="T45" s="45">
        <v>9.5</v>
      </c>
      <c r="U45" s="45">
        <v>9.5</v>
      </c>
      <c r="V45" s="45">
        <v>9.5</v>
      </c>
      <c r="W45" s="45">
        <v>9.5</v>
      </c>
      <c r="X45" s="45">
        <v>9.5</v>
      </c>
      <c r="Y45" s="45">
        <v>5</v>
      </c>
      <c r="Z45" s="45">
        <v>5</v>
      </c>
      <c r="AA45" s="45">
        <v>5</v>
      </c>
      <c r="AB45" s="45">
        <v>5</v>
      </c>
      <c r="AC45" s="45">
        <v>5</v>
      </c>
      <c r="AD45" s="45">
        <v>5</v>
      </c>
      <c r="AE45" s="45">
        <v>9</v>
      </c>
      <c r="AF45" s="45">
        <v>9</v>
      </c>
      <c r="AG45" s="54">
        <v>10</v>
      </c>
      <c r="AH45" s="47">
        <f t="shared" si="2"/>
        <v>9.5</v>
      </c>
      <c r="AI45" s="48">
        <f t="shared" si="3"/>
        <v>4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/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/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/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120.7</v>
      </c>
      <c r="C49" s="56"/>
      <c r="D49" s="56">
        <v>120.7</v>
      </c>
      <c r="E49" s="56">
        <v>120.7</v>
      </c>
      <c r="F49" s="56">
        <v>120.7</v>
      </c>
      <c r="G49" s="56">
        <v>120.7</v>
      </c>
      <c r="H49" s="56">
        <v>120.7</v>
      </c>
      <c r="I49" s="56">
        <v>120.7</v>
      </c>
      <c r="J49" s="56">
        <v>120.7</v>
      </c>
      <c r="K49" s="56">
        <v>120.7</v>
      </c>
      <c r="L49" s="56">
        <v>120.7</v>
      </c>
      <c r="M49" s="58">
        <f>71+28.8</f>
        <v>99.8</v>
      </c>
      <c r="N49" s="58">
        <f>67.5+27.5</f>
        <v>95</v>
      </c>
      <c r="O49" s="58">
        <f>82.4+31.8</f>
        <v>114.2</v>
      </c>
      <c r="P49" s="58">
        <f>69.3+28.8</f>
        <v>98.1</v>
      </c>
      <c r="Q49" s="58">
        <f>70.1+29.1</f>
        <v>99.199999999999989</v>
      </c>
      <c r="R49" s="58">
        <f>79.4+31.7</f>
        <v>111.10000000000001</v>
      </c>
      <c r="S49" s="58">
        <v>115.7</v>
      </c>
      <c r="T49" s="58">
        <v>115.7</v>
      </c>
      <c r="U49" s="58">
        <v>115.7</v>
      </c>
      <c r="V49" s="58">
        <v>115.7</v>
      </c>
      <c r="W49" s="58">
        <v>115.7</v>
      </c>
      <c r="X49" s="58">
        <v>115.7</v>
      </c>
      <c r="Y49" s="56">
        <v>120</v>
      </c>
      <c r="Z49" s="56">
        <v>120</v>
      </c>
      <c r="AA49" s="56">
        <v>121.5</v>
      </c>
      <c r="AB49" s="56">
        <v>125</v>
      </c>
      <c r="AC49" s="56">
        <v>125</v>
      </c>
      <c r="AD49" s="56">
        <v>125</v>
      </c>
      <c r="AE49" s="56">
        <v>125</v>
      </c>
      <c r="AF49" s="56">
        <v>125</v>
      </c>
      <c r="AG49" s="54">
        <v>240</v>
      </c>
      <c r="AH49" s="47">
        <f t="shared" si="2"/>
        <v>125</v>
      </c>
      <c r="AI49" s="48">
        <f t="shared" si="3"/>
        <v>95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1157.6999999999998</v>
      </c>
      <c r="C50" s="60">
        <f t="shared" si="4"/>
        <v>0</v>
      </c>
      <c r="D50" s="60">
        <f t="shared" si="4"/>
        <v>1005.2</v>
      </c>
      <c r="E50" s="60">
        <f t="shared" si="4"/>
        <v>1005.2</v>
      </c>
      <c r="F50" s="60">
        <f t="shared" si="4"/>
        <v>1074.2</v>
      </c>
      <c r="G50" s="60">
        <f t="shared" si="4"/>
        <v>1154.4000000000001</v>
      </c>
      <c r="H50" s="60">
        <f t="shared" si="4"/>
        <v>1154.5</v>
      </c>
      <c r="I50" s="60">
        <f t="shared" si="4"/>
        <v>1149.5</v>
      </c>
      <c r="J50" s="60">
        <f t="shared" si="4"/>
        <v>1149.5</v>
      </c>
      <c r="K50" s="60">
        <f t="shared" si="4"/>
        <v>1173.5</v>
      </c>
      <c r="L50" s="60">
        <f t="shared" si="4"/>
        <v>1173.5</v>
      </c>
      <c r="M50" s="60">
        <f t="shared" si="4"/>
        <v>1172.5</v>
      </c>
      <c r="N50" s="60">
        <f t="shared" si="4"/>
        <v>1092.5</v>
      </c>
      <c r="O50" s="60">
        <f t="shared" si="4"/>
        <v>1083.5</v>
      </c>
      <c r="P50" s="60">
        <f t="shared" si="4"/>
        <v>1073.1999999999998</v>
      </c>
      <c r="Q50" s="60">
        <f t="shared" si="4"/>
        <v>1108.8</v>
      </c>
      <c r="R50" s="60">
        <f t="shared" si="4"/>
        <v>1070.3</v>
      </c>
      <c r="S50" s="60">
        <f t="shared" ref="S50:Y50" si="5">SUM(S11:S48)</f>
        <v>1100.3</v>
      </c>
      <c r="T50" s="60">
        <f t="shared" si="5"/>
        <v>1101.5999999999999</v>
      </c>
      <c r="U50" s="60">
        <f t="shared" si="5"/>
        <v>1012.4</v>
      </c>
      <c r="V50" s="60">
        <f t="shared" si="5"/>
        <v>1012.5999999999999</v>
      </c>
      <c r="W50" s="60">
        <f t="shared" si="5"/>
        <v>1032.5999999999999</v>
      </c>
      <c r="X50" s="60">
        <f t="shared" si="5"/>
        <v>1087.8</v>
      </c>
      <c r="Y50" s="60">
        <f t="shared" si="5"/>
        <v>1077.3</v>
      </c>
      <c r="Z50" s="60">
        <f t="shared" si="4"/>
        <v>1082.3</v>
      </c>
      <c r="AA50" s="60">
        <f>SUM(AA11:AA48)</f>
        <v>1082.3</v>
      </c>
      <c r="AB50" s="60">
        <f t="shared" si="4"/>
        <v>1082.3</v>
      </c>
      <c r="AC50" s="60">
        <f t="shared" si="4"/>
        <v>1082.3</v>
      </c>
      <c r="AD50" s="60">
        <f t="shared" si="4"/>
        <v>1084.9000000000001</v>
      </c>
      <c r="AE50" s="60">
        <f t="shared" si="4"/>
        <v>1105.2</v>
      </c>
      <c r="AF50" s="60">
        <f t="shared" si="4"/>
        <v>1066.3</v>
      </c>
      <c r="AG50" s="61">
        <f>SUM(AG13:AG48)</f>
        <v>922.14</v>
      </c>
      <c r="AH50" s="47">
        <f t="shared" si="2"/>
        <v>1173.5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/>
      <c r="D51" s="45">
        <v>300</v>
      </c>
      <c r="E51" s="45">
        <v>300</v>
      </c>
      <c r="F51" s="45">
        <v>380</v>
      </c>
      <c r="G51" s="45">
        <v>380</v>
      </c>
      <c r="H51" s="45">
        <v>380</v>
      </c>
      <c r="I51" s="45">
        <v>380</v>
      </c>
      <c r="J51" s="45">
        <v>380</v>
      </c>
      <c r="K51" s="45">
        <v>380</v>
      </c>
      <c r="L51" s="45">
        <v>380</v>
      </c>
      <c r="M51" s="45">
        <v>380</v>
      </c>
      <c r="N51" s="45">
        <v>380</v>
      </c>
      <c r="O51" s="175">
        <v>380</v>
      </c>
      <c r="P51" s="175">
        <v>380</v>
      </c>
      <c r="Q51" s="175">
        <v>380</v>
      </c>
      <c r="R51" s="175">
        <v>413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300</v>
      </c>
      <c r="AK51" s="50"/>
    </row>
    <row r="52" spans="1:41" x14ac:dyDescent="0.25">
      <c r="A52" s="63" t="s">
        <v>60</v>
      </c>
      <c r="B52" s="64">
        <v>61</v>
      </c>
      <c r="C52" s="64"/>
      <c r="D52" s="64">
        <v>61</v>
      </c>
      <c r="E52" s="64">
        <v>61</v>
      </c>
      <c r="F52" s="64">
        <v>61</v>
      </c>
      <c r="G52" s="64">
        <v>61</v>
      </c>
      <c r="H52" s="64">
        <v>61</v>
      </c>
      <c r="I52" s="64">
        <v>61</v>
      </c>
      <c r="J52" s="64">
        <v>61</v>
      </c>
      <c r="K52" s="64">
        <v>61</v>
      </c>
      <c r="L52" s="64">
        <v>61</v>
      </c>
      <c r="M52" s="64">
        <v>61</v>
      </c>
      <c r="N52" s="64">
        <v>61</v>
      </c>
      <c r="O52" s="64">
        <v>61</v>
      </c>
      <c r="P52" s="64">
        <v>61</v>
      </c>
      <c r="Q52" s="64">
        <v>61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61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22.5</v>
      </c>
      <c r="C53" s="66"/>
      <c r="D53" s="66">
        <v>20.5</v>
      </c>
      <c r="E53" s="66">
        <v>20.5</v>
      </c>
      <c r="F53" s="66">
        <v>20.8</v>
      </c>
      <c r="G53" s="66">
        <v>20.8</v>
      </c>
      <c r="H53" s="66">
        <v>20.8</v>
      </c>
      <c r="I53" s="66">
        <v>20.8</v>
      </c>
      <c r="J53" s="66">
        <v>20.8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20.5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539.5</v>
      </c>
      <c r="C54" s="60">
        <f t="shared" si="6"/>
        <v>0</v>
      </c>
      <c r="D54" s="60">
        <f t="shared" si="6"/>
        <v>381.5</v>
      </c>
      <c r="E54" s="60">
        <f t="shared" si="6"/>
        <v>381.5</v>
      </c>
      <c r="F54" s="60">
        <f t="shared" si="6"/>
        <v>461.8</v>
      </c>
      <c r="G54" s="60">
        <f t="shared" si="6"/>
        <v>461.8</v>
      </c>
      <c r="H54" s="60">
        <f t="shared" si="6"/>
        <v>461.8</v>
      </c>
      <c r="I54" s="60">
        <f t="shared" si="6"/>
        <v>461.8</v>
      </c>
      <c r="J54" s="60">
        <f t="shared" si="6"/>
        <v>461.8</v>
      </c>
      <c r="K54" s="60">
        <f t="shared" si="6"/>
        <v>463.4</v>
      </c>
      <c r="L54" s="60">
        <f t="shared" si="6"/>
        <v>463.4</v>
      </c>
      <c r="M54" s="60">
        <f t="shared" si="6"/>
        <v>463.4</v>
      </c>
      <c r="N54" s="60">
        <f t="shared" si="6"/>
        <v>463.4</v>
      </c>
      <c r="O54" s="60">
        <f t="shared" si="6"/>
        <v>463.4</v>
      </c>
      <c r="P54" s="60">
        <f t="shared" si="6"/>
        <v>463.4</v>
      </c>
      <c r="Q54" s="60">
        <f t="shared" si="6"/>
        <v>463.4</v>
      </c>
      <c r="R54" s="60">
        <f t="shared" si="6"/>
        <v>495.4</v>
      </c>
      <c r="S54" s="60">
        <f t="shared" ref="S54:Y54" si="7">SUM(S51:S53)</f>
        <v>538.4</v>
      </c>
      <c r="T54" s="60">
        <f t="shared" si="7"/>
        <v>538.4</v>
      </c>
      <c r="U54" s="60">
        <f t="shared" si="7"/>
        <v>538.4</v>
      </c>
      <c r="V54" s="60">
        <f t="shared" si="7"/>
        <v>538.4</v>
      </c>
      <c r="W54" s="60">
        <f t="shared" si="7"/>
        <v>538.4</v>
      </c>
      <c r="X54" s="60">
        <f t="shared" si="7"/>
        <v>538.4</v>
      </c>
      <c r="Y54" s="60">
        <f t="shared" si="7"/>
        <v>538.4</v>
      </c>
      <c r="Z54" s="60">
        <f t="shared" si="6"/>
        <v>538.4</v>
      </c>
      <c r="AA54" s="60">
        <f>SUM(AA51:AA53)</f>
        <v>538.4</v>
      </c>
      <c r="AB54" s="60">
        <f t="shared" si="6"/>
        <v>538.4</v>
      </c>
      <c r="AC54" s="60">
        <f t="shared" si="6"/>
        <v>538.4</v>
      </c>
      <c r="AD54" s="60">
        <f t="shared" si="6"/>
        <v>538.4</v>
      </c>
      <c r="AE54" s="60">
        <f t="shared" si="6"/>
        <v>538.4</v>
      </c>
      <c r="AF54" s="60">
        <f t="shared" si="6"/>
        <v>538.4</v>
      </c>
      <c r="AG54" s="61">
        <f t="shared" si="6"/>
        <v>538.1</v>
      </c>
      <c r="AH54" s="47">
        <f t="shared" si="2"/>
        <v>539.5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146.5</v>
      </c>
      <c r="C55" s="45"/>
      <c r="D55" s="45">
        <v>146.5</v>
      </c>
      <c r="E55" s="45">
        <v>142</v>
      </c>
      <c r="F55" s="45">
        <v>142.4</v>
      </c>
      <c r="G55" s="45">
        <v>142.4</v>
      </c>
      <c r="H55" s="45">
        <v>142.4</v>
      </c>
      <c r="I55" s="45">
        <v>142.4</v>
      </c>
      <c r="J55" s="45">
        <v>142.4</v>
      </c>
      <c r="K55" s="45">
        <v>146</v>
      </c>
      <c r="L55" s="45">
        <v>146</v>
      </c>
      <c r="M55" s="45">
        <v>146</v>
      </c>
      <c r="N55" s="45">
        <v>146.5</v>
      </c>
      <c r="O55" s="45">
        <v>146.80000000000001</v>
      </c>
      <c r="P55" s="45">
        <v>146.6</v>
      </c>
      <c r="Q55" s="45">
        <v>146.30000000000001</v>
      </c>
      <c r="R55" s="45">
        <v>145.80000000000001</v>
      </c>
      <c r="S55" s="45">
        <v>121.5</v>
      </c>
      <c r="T55" s="45">
        <v>121.4</v>
      </c>
      <c r="U55" s="45">
        <v>73.3</v>
      </c>
      <c r="V55" s="45">
        <v>76.099999999999994</v>
      </c>
      <c r="W55" s="45">
        <v>76.099999999999994</v>
      </c>
      <c r="X55" s="45">
        <v>76.400000000000006</v>
      </c>
      <c r="Y55" s="45">
        <v>76</v>
      </c>
      <c r="Z55" s="45">
        <v>76</v>
      </c>
      <c r="AA55" s="45">
        <v>76</v>
      </c>
      <c r="AB55" s="45">
        <v>91</v>
      </c>
      <c r="AC55" s="45">
        <v>91</v>
      </c>
      <c r="AD55" s="45">
        <v>91</v>
      </c>
      <c r="AE55" s="45">
        <v>144.9</v>
      </c>
      <c r="AF55" s="45">
        <v>145.19999999999999</v>
      </c>
      <c r="AG55" s="51">
        <v>144</v>
      </c>
      <c r="AH55" s="47">
        <f t="shared" si="2"/>
        <v>146.80000000000001</v>
      </c>
      <c r="AI55" s="48">
        <f t="shared" si="3"/>
        <v>73.3</v>
      </c>
      <c r="AK55" s="50"/>
    </row>
    <row r="56" spans="1:41" x14ac:dyDescent="0.25">
      <c r="A56" s="53" t="s">
        <v>64</v>
      </c>
      <c r="B56" s="64">
        <v>70</v>
      </c>
      <c r="C56" s="64"/>
      <c r="D56" s="64">
        <v>50</v>
      </c>
      <c r="E56" s="64">
        <v>49.8</v>
      </c>
      <c r="F56" s="64">
        <v>70</v>
      </c>
      <c r="G56" s="64">
        <v>70</v>
      </c>
      <c r="H56" s="64">
        <v>70</v>
      </c>
      <c r="I56" s="64">
        <v>70</v>
      </c>
      <c r="J56" s="64">
        <v>70</v>
      </c>
      <c r="K56" s="64">
        <v>69.8</v>
      </c>
      <c r="L56" s="64">
        <v>69.8</v>
      </c>
      <c r="M56" s="64">
        <v>69.099999999999994</v>
      </c>
      <c r="N56" s="64">
        <v>60.4</v>
      </c>
      <c r="O56" s="64">
        <v>62.4</v>
      </c>
      <c r="P56" s="64">
        <v>70.5</v>
      </c>
      <c r="Q56" s="64">
        <v>69.2</v>
      </c>
      <c r="R56" s="64">
        <v>70.5</v>
      </c>
      <c r="S56" s="64">
        <v>70.5</v>
      </c>
      <c r="T56" s="64">
        <v>70.5</v>
      </c>
      <c r="U56" s="64">
        <v>72.099999999999994</v>
      </c>
      <c r="V56" s="64">
        <v>70.8</v>
      </c>
      <c r="W56" s="64">
        <v>70.8</v>
      </c>
      <c r="X56" s="64">
        <v>70.7</v>
      </c>
      <c r="Y56" s="45">
        <v>71.5</v>
      </c>
      <c r="Z56" s="45">
        <v>70.2</v>
      </c>
      <c r="AA56" s="45">
        <v>70.2</v>
      </c>
      <c r="AB56" s="45">
        <v>70.2</v>
      </c>
      <c r="AC56" s="45">
        <v>70.2</v>
      </c>
      <c r="AD56" s="45">
        <v>70.2</v>
      </c>
      <c r="AE56" s="45">
        <v>68.8</v>
      </c>
      <c r="AF56" s="45">
        <v>69.7</v>
      </c>
      <c r="AG56" s="54">
        <v>70</v>
      </c>
      <c r="AH56" s="47">
        <f t="shared" si="2"/>
        <v>72.099999999999994</v>
      </c>
      <c r="AI56" s="48">
        <f t="shared" si="3"/>
        <v>49.8</v>
      </c>
      <c r="AK56" s="50"/>
    </row>
    <row r="57" spans="1:41" x14ac:dyDescent="0.25">
      <c r="A57" s="53" t="s">
        <v>65</v>
      </c>
      <c r="B57" s="64">
        <v>66.2</v>
      </c>
      <c r="C57" s="64"/>
      <c r="D57" s="64">
        <v>66.2</v>
      </c>
      <c r="E57" s="64">
        <v>66.2</v>
      </c>
      <c r="F57" s="64">
        <v>66.2</v>
      </c>
      <c r="G57" s="64">
        <v>66.2</v>
      </c>
      <c r="H57" s="64">
        <v>66.2</v>
      </c>
      <c r="I57" s="64">
        <v>66.2</v>
      </c>
      <c r="J57" s="64">
        <v>66.2</v>
      </c>
      <c r="K57" s="64">
        <v>66</v>
      </c>
      <c r="L57" s="64">
        <v>66</v>
      </c>
      <c r="M57" s="64">
        <v>56.1</v>
      </c>
      <c r="N57" s="64">
        <v>66.7</v>
      </c>
      <c r="O57" s="64">
        <v>66.7</v>
      </c>
      <c r="P57" s="64">
        <v>67.400000000000006</v>
      </c>
      <c r="Q57" s="64">
        <v>66.900000000000006</v>
      </c>
      <c r="R57" s="64">
        <v>66.5</v>
      </c>
      <c r="S57" s="64">
        <v>52.2</v>
      </c>
      <c r="T57" s="64">
        <v>52.2</v>
      </c>
      <c r="U57" s="64">
        <v>65.400000000000006</v>
      </c>
      <c r="V57" s="64">
        <v>66.099999999999994</v>
      </c>
      <c r="W57" s="64">
        <v>66.099999999999994</v>
      </c>
      <c r="X57" s="64">
        <v>66.099999999999994</v>
      </c>
      <c r="Y57" s="45">
        <v>66.099999999999994</v>
      </c>
      <c r="Z57" s="45">
        <v>66.5</v>
      </c>
      <c r="AA57" s="45">
        <v>66.5</v>
      </c>
      <c r="AB57" s="45">
        <v>66.5</v>
      </c>
      <c r="AC57" s="45">
        <v>66.5</v>
      </c>
      <c r="AD57" s="45">
        <v>66.5</v>
      </c>
      <c r="AE57" s="45">
        <v>66.3</v>
      </c>
      <c r="AF57" s="45">
        <v>66.8</v>
      </c>
      <c r="AG57" s="54">
        <v>69</v>
      </c>
      <c r="AH57" s="47">
        <f t="shared" si="2"/>
        <v>67.400000000000006</v>
      </c>
      <c r="AI57" s="48">
        <f t="shared" si="3"/>
        <v>52.2</v>
      </c>
      <c r="AK57" s="50"/>
    </row>
    <row r="58" spans="1:41" x14ac:dyDescent="0.25">
      <c r="A58" s="53" t="s">
        <v>66</v>
      </c>
      <c r="B58" s="64">
        <v>60.2</v>
      </c>
      <c r="C58" s="64"/>
      <c r="D58" s="64">
        <v>60.2</v>
      </c>
      <c r="E58" s="64">
        <v>60.2</v>
      </c>
      <c r="F58" s="56">
        <v>60.7</v>
      </c>
      <c r="G58" s="56">
        <v>60.7</v>
      </c>
      <c r="H58" s="56">
        <v>60.7</v>
      </c>
      <c r="I58" s="56">
        <v>60.7</v>
      </c>
      <c r="J58" s="56">
        <v>60.7</v>
      </c>
      <c r="K58" s="56">
        <v>60.9</v>
      </c>
      <c r="L58" s="56">
        <v>60.9</v>
      </c>
      <c r="M58" s="64">
        <v>50</v>
      </c>
      <c r="N58" s="64">
        <v>30</v>
      </c>
      <c r="O58" s="64">
        <v>30.2</v>
      </c>
      <c r="P58" s="64">
        <v>30.2</v>
      </c>
      <c r="Q58" s="64">
        <v>0</v>
      </c>
      <c r="R58" s="64">
        <v>0</v>
      </c>
      <c r="S58" s="64">
        <v>0</v>
      </c>
      <c r="T58" s="64">
        <v>10.1</v>
      </c>
      <c r="U58" s="64">
        <v>31.3</v>
      </c>
      <c r="V58" s="64">
        <v>31.3</v>
      </c>
      <c r="W58" s="64">
        <v>31.3</v>
      </c>
      <c r="X58" s="64">
        <v>31</v>
      </c>
      <c r="Y58" s="45">
        <v>31</v>
      </c>
      <c r="Z58" s="45">
        <v>31</v>
      </c>
      <c r="AA58" s="45">
        <v>31</v>
      </c>
      <c r="AB58" s="45">
        <v>31</v>
      </c>
      <c r="AC58" s="45">
        <v>31</v>
      </c>
      <c r="AD58" s="45">
        <v>31</v>
      </c>
      <c r="AE58" s="45">
        <v>31</v>
      </c>
      <c r="AF58" s="45">
        <v>40.6</v>
      </c>
      <c r="AG58" s="54">
        <v>60</v>
      </c>
      <c r="AH58" s="47">
        <f t="shared" si="2"/>
        <v>60.9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30</v>
      </c>
      <c r="C59" s="64"/>
      <c r="D59" s="64">
        <v>30</v>
      </c>
      <c r="E59" s="64">
        <v>30</v>
      </c>
      <c r="F59" s="56">
        <v>30</v>
      </c>
      <c r="G59" s="56">
        <v>30</v>
      </c>
      <c r="H59" s="56">
        <v>30</v>
      </c>
      <c r="I59" s="56">
        <v>30</v>
      </c>
      <c r="J59" s="56">
        <v>30</v>
      </c>
      <c r="K59" s="56">
        <v>30</v>
      </c>
      <c r="L59" s="56">
        <v>30</v>
      </c>
      <c r="M59" s="64">
        <v>29</v>
      </c>
      <c r="N59" s="64">
        <v>29</v>
      </c>
      <c r="O59" s="64">
        <v>10</v>
      </c>
      <c r="P59" s="64">
        <v>29</v>
      </c>
      <c r="Q59" s="64">
        <v>29</v>
      </c>
      <c r="R59" s="64">
        <v>30</v>
      </c>
      <c r="S59" s="64">
        <v>30</v>
      </c>
      <c r="T59" s="64">
        <v>30</v>
      </c>
      <c r="U59" s="64">
        <v>30</v>
      </c>
      <c r="V59" s="64">
        <v>30</v>
      </c>
      <c r="W59" s="64">
        <v>30</v>
      </c>
      <c r="X59" s="64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10</v>
      </c>
      <c r="AK59" s="50"/>
    </row>
    <row r="60" spans="1:41" x14ac:dyDescent="0.25">
      <c r="A60" s="53" t="s">
        <v>68</v>
      </c>
      <c r="B60" s="64">
        <v>0</v>
      </c>
      <c r="C60" s="64"/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0.6</v>
      </c>
      <c r="L60" s="64">
        <v>1.3</v>
      </c>
      <c r="M60" s="64">
        <v>3.6</v>
      </c>
      <c r="N60" s="64">
        <v>8.4</v>
      </c>
      <c r="O60" s="64">
        <v>11.1</v>
      </c>
      <c r="P60" s="64">
        <v>12.8</v>
      </c>
      <c r="Q60" s="64">
        <v>12.8</v>
      </c>
      <c r="R60" s="64">
        <v>16.7</v>
      </c>
      <c r="S60" s="64">
        <v>11</v>
      </c>
      <c r="T60" s="64">
        <v>2.9</v>
      </c>
      <c r="U60" s="64">
        <v>0.9</v>
      </c>
      <c r="V60" s="64">
        <v>0</v>
      </c>
      <c r="W60" s="64">
        <v>0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16.7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/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/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0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12.4</v>
      </c>
      <c r="C63" s="64"/>
      <c r="D63" s="64">
        <v>12.4</v>
      </c>
      <c r="E63" s="64">
        <v>12.4</v>
      </c>
      <c r="F63" s="64">
        <v>12.4</v>
      </c>
      <c r="G63" s="64">
        <v>12.4</v>
      </c>
      <c r="H63" s="64">
        <v>12.4</v>
      </c>
      <c r="I63" s="64">
        <v>12.4</v>
      </c>
      <c r="J63" s="64">
        <v>12.4</v>
      </c>
      <c r="K63" s="64">
        <v>12.4</v>
      </c>
      <c r="L63" s="64">
        <v>12.4</v>
      </c>
      <c r="M63" s="64">
        <v>11.8</v>
      </c>
      <c r="N63" s="64">
        <v>12</v>
      </c>
      <c r="O63" s="64">
        <v>12.4</v>
      </c>
      <c r="P63" s="64">
        <v>7</v>
      </c>
      <c r="Q63" s="64">
        <v>7</v>
      </c>
      <c r="R63" s="64">
        <v>13.2</v>
      </c>
      <c r="S63" s="64">
        <v>13.2</v>
      </c>
      <c r="T63" s="64">
        <v>12.1</v>
      </c>
      <c r="U63" s="64">
        <v>12.1</v>
      </c>
      <c r="V63" s="64">
        <v>12.1</v>
      </c>
      <c r="W63" s="64">
        <v>12.1</v>
      </c>
      <c r="X63" s="64">
        <v>12.1</v>
      </c>
      <c r="Y63" s="64">
        <v>12.1</v>
      </c>
      <c r="Z63" s="64">
        <v>12.2</v>
      </c>
      <c r="AA63" s="64">
        <v>12.2</v>
      </c>
      <c r="AB63" s="64">
        <v>12.2</v>
      </c>
      <c r="AC63" s="64">
        <v>12.2</v>
      </c>
      <c r="AD63" s="64">
        <v>12.2</v>
      </c>
      <c r="AE63" s="64">
        <v>12.2</v>
      </c>
      <c r="AF63" s="64">
        <v>12.2</v>
      </c>
      <c r="AG63" s="54">
        <v>14.1</v>
      </c>
      <c r="AH63" s="47">
        <f t="shared" si="2"/>
        <v>13.2</v>
      </c>
      <c r="AI63" s="48">
        <f t="shared" si="3"/>
        <v>7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14.1</v>
      </c>
      <c r="C64" s="64"/>
      <c r="D64" s="64">
        <v>14.1</v>
      </c>
      <c r="E64" s="64">
        <v>14.1</v>
      </c>
      <c r="F64" s="64">
        <v>14.1</v>
      </c>
      <c r="G64" s="64">
        <v>14.1</v>
      </c>
      <c r="H64" s="64">
        <v>14.1</v>
      </c>
      <c r="I64" s="64">
        <v>14.1</v>
      </c>
      <c r="J64" s="64">
        <v>14.1</v>
      </c>
      <c r="K64" s="64">
        <v>14.1</v>
      </c>
      <c r="L64" s="64">
        <v>14.1</v>
      </c>
      <c r="M64" s="64">
        <v>13.9</v>
      </c>
      <c r="N64" s="64">
        <v>13.9</v>
      </c>
      <c r="O64" s="64">
        <v>13.9</v>
      </c>
      <c r="P64" s="64">
        <v>14.1</v>
      </c>
      <c r="Q64" s="64">
        <v>14.1</v>
      </c>
      <c r="R64" s="64">
        <v>13.9</v>
      </c>
      <c r="S64" s="64">
        <v>13.9</v>
      </c>
      <c r="T64" s="64">
        <v>13.9</v>
      </c>
      <c r="U64" s="64">
        <v>11.3</v>
      </c>
      <c r="V64" s="64">
        <v>11.3</v>
      </c>
      <c r="W64" s="64">
        <v>11.3</v>
      </c>
      <c r="X64" s="64">
        <v>11.3</v>
      </c>
      <c r="Y64" s="64">
        <v>11.3</v>
      </c>
      <c r="Z64" s="64">
        <v>11.3</v>
      </c>
      <c r="AA64" s="64">
        <v>11.3</v>
      </c>
      <c r="AB64" s="64">
        <v>11.3</v>
      </c>
      <c r="AC64" s="64">
        <v>11.3</v>
      </c>
      <c r="AD64" s="64">
        <v>11.3</v>
      </c>
      <c r="AE64" s="64">
        <v>11.3</v>
      </c>
      <c r="AF64" s="64">
        <v>11.3</v>
      </c>
      <c r="AG64" s="54">
        <v>14</v>
      </c>
      <c r="AH64" s="47">
        <f t="shared" si="2"/>
        <v>14.1</v>
      </c>
      <c r="AI64" s="48">
        <f t="shared" si="3"/>
        <v>11.3</v>
      </c>
      <c r="AK64" s="50"/>
    </row>
    <row r="65" spans="1:40" x14ac:dyDescent="0.25">
      <c r="A65" s="53" t="s">
        <v>73</v>
      </c>
      <c r="B65" s="64">
        <v>9</v>
      </c>
      <c r="C65" s="64"/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/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438.14</v>
      </c>
      <c r="C68" s="60">
        <f t="shared" si="8"/>
        <v>3.54</v>
      </c>
      <c r="D68" s="60">
        <f t="shared" si="8"/>
        <v>418.14</v>
      </c>
      <c r="E68" s="60">
        <f t="shared" si="8"/>
        <v>413.44</v>
      </c>
      <c r="F68" s="60">
        <f t="shared" si="8"/>
        <v>434.54</v>
      </c>
      <c r="G68" s="60">
        <f t="shared" si="8"/>
        <v>434.54</v>
      </c>
      <c r="H68" s="60">
        <f t="shared" si="8"/>
        <v>434.54</v>
      </c>
      <c r="I68" s="60">
        <f t="shared" si="8"/>
        <v>434.54</v>
      </c>
      <c r="J68" s="60">
        <f t="shared" si="8"/>
        <v>434.54</v>
      </c>
      <c r="K68" s="60">
        <f t="shared" si="8"/>
        <v>438.54</v>
      </c>
      <c r="L68" s="60">
        <f t="shared" si="8"/>
        <v>439.24</v>
      </c>
      <c r="M68" s="60">
        <f t="shared" si="8"/>
        <v>418.24</v>
      </c>
      <c r="N68" s="60">
        <f t="shared" si="8"/>
        <v>405.64</v>
      </c>
      <c r="O68" s="60">
        <f t="shared" si="8"/>
        <v>387.24</v>
      </c>
      <c r="P68" s="60">
        <f t="shared" si="8"/>
        <v>411.34000000000003</v>
      </c>
      <c r="Q68" s="60">
        <f t="shared" si="8"/>
        <v>379.04</v>
      </c>
      <c r="R68" s="60">
        <f t="shared" si="8"/>
        <v>390.34</v>
      </c>
      <c r="S68" s="60">
        <f t="shared" ref="S68:Y68" si="9">SUM(S55:S67)</f>
        <v>346.03999999999996</v>
      </c>
      <c r="T68" s="60">
        <f t="shared" si="9"/>
        <v>346.84000000000003</v>
      </c>
      <c r="U68" s="60">
        <f t="shared" si="9"/>
        <v>330.14000000000004</v>
      </c>
      <c r="V68" s="60">
        <f t="shared" si="9"/>
        <v>331.44</v>
      </c>
      <c r="W68" s="60">
        <f t="shared" si="9"/>
        <v>331.44</v>
      </c>
      <c r="X68" s="60">
        <f t="shared" si="9"/>
        <v>331.34000000000009</v>
      </c>
      <c r="Y68" s="60">
        <f t="shared" si="9"/>
        <v>331.74000000000007</v>
      </c>
      <c r="Z68" s="60">
        <f t="shared" si="8"/>
        <v>330.94</v>
      </c>
      <c r="AA68" s="60">
        <f>SUM(AA55:AA67)</f>
        <v>330.94</v>
      </c>
      <c r="AB68" s="60">
        <f t="shared" si="8"/>
        <v>345.94</v>
      </c>
      <c r="AC68" s="60">
        <f t="shared" si="8"/>
        <v>345.94</v>
      </c>
      <c r="AD68" s="60">
        <f t="shared" si="8"/>
        <v>345.94</v>
      </c>
      <c r="AE68" s="60">
        <f t="shared" si="8"/>
        <v>398.24</v>
      </c>
      <c r="AF68" s="60">
        <f t="shared" si="8"/>
        <v>409.54</v>
      </c>
      <c r="AG68" s="61">
        <f t="shared" si="8"/>
        <v>489.91</v>
      </c>
      <c r="AH68" s="47">
        <f t="shared" si="2"/>
        <v>439.24</v>
      </c>
      <c r="AI68" s="48">
        <f t="shared" si="3"/>
        <v>3.54</v>
      </c>
      <c r="AK68" s="50"/>
    </row>
    <row r="69" spans="1:40" x14ac:dyDescent="0.25">
      <c r="A69" s="44" t="s">
        <v>77</v>
      </c>
      <c r="B69" s="45">
        <v>10</v>
      </c>
      <c r="C69" s="45"/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/>
      <c r="N69" s="45">
        <v>40</v>
      </c>
      <c r="O69" s="45">
        <v>40</v>
      </c>
      <c r="P69" s="45">
        <v>34</v>
      </c>
      <c r="Q69" s="45">
        <v>14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14</v>
      </c>
      <c r="Y69" s="45">
        <v>35</v>
      </c>
      <c r="Z69" s="45">
        <v>50</v>
      </c>
      <c r="AA69" s="45">
        <v>40</v>
      </c>
      <c r="AB69" s="45">
        <v>34</v>
      </c>
      <c r="AC69" s="45">
        <v>14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50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5</v>
      </c>
      <c r="C70" s="45"/>
      <c r="D70" s="64">
        <v>0</v>
      </c>
      <c r="E70" s="64">
        <v>0</v>
      </c>
      <c r="F70" s="64">
        <v>0</v>
      </c>
      <c r="G70" s="64">
        <v>0</v>
      </c>
      <c r="H70" s="64">
        <v>0</v>
      </c>
      <c r="I70" s="64">
        <v>0</v>
      </c>
      <c r="J70" s="64">
        <v>0</v>
      </c>
      <c r="K70" s="64">
        <v>0</v>
      </c>
      <c r="L70" s="64">
        <v>0</v>
      </c>
      <c r="M70" s="64"/>
      <c r="N70" s="64">
        <v>18</v>
      </c>
      <c r="O70" s="64">
        <v>17.2</v>
      </c>
      <c r="P70" s="64">
        <v>13.6</v>
      </c>
      <c r="Q70" s="64">
        <v>5.6</v>
      </c>
      <c r="R70" s="64">
        <v>0</v>
      </c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6.4</v>
      </c>
      <c r="Y70" s="64">
        <v>17.5</v>
      </c>
      <c r="Z70" s="64">
        <v>21.5</v>
      </c>
      <c r="AA70" s="64">
        <v>20.8</v>
      </c>
      <c r="AB70" s="64">
        <v>15</v>
      </c>
      <c r="AC70" s="64">
        <v>7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21.5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2</v>
      </c>
      <c r="C71" s="45"/>
      <c r="D71" s="66">
        <v>0</v>
      </c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v>0</v>
      </c>
      <c r="K71" s="66">
        <v>0</v>
      </c>
      <c r="L71" s="66">
        <v>0</v>
      </c>
      <c r="M71" s="66"/>
      <c r="N71" s="66">
        <v>6.6</v>
      </c>
      <c r="O71" s="66">
        <v>6.3</v>
      </c>
      <c r="P71" s="66">
        <v>7.5</v>
      </c>
      <c r="Q71" s="66">
        <v>2</v>
      </c>
      <c r="R71" s="66">
        <v>0</v>
      </c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2.2999999999999998</v>
      </c>
      <c r="Y71" s="66">
        <v>6.8</v>
      </c>
      <c r="Z71" s="66">
        <v>8.9</v>
      </c>
      <c r="AA71" s="66">
        <v>8.6999999999999993</v>
      </c>
      <c r="AB71" s="66">
        <v>7.8</v>
      </c>
      <c r="AC71" s="66">
        <v>3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8.9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17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0">M69+M70+M71</f>
        <v>0</v>
      </c>
      <c r="N72" s="60">
        <f t="shared" si="10"/>
        <v>64.599999999999994</v>
      </c>
      <c r="O72" s="60">
        <f t="shared" si="10"/>
        <v>63.5</v>
      </c>
      <c r="P72" s="60">
        <f t="shared" si="10"/>
        <v>55.1</v>
      </c>
      <c r="Q72" s="60">
        <f t="shared" si="10"/>
        <v>21.6</v>
      </c>
      <c r="R72" s="60">
        <f t="shared" si="10"/>
        <v>0</v>
      </c>
      <c r="S72" s="60">
        <f t="shared" ref="S72:Y72" si="11">S69+S70+S71</f>
        <v>0</v>
      </c>
      <c r="T72" s="60">
        <f t="shared" si="11"/>
        <v>0</v>
      </c>
      <c r="U72" s="60">
        <f t="shared" si="11"/>
        <v>0</v>
      </c>
      <c r="V72" s="60">
        <f t="shared" si="11"/>
        <v>0</v>
      </c>
      <c r="W72" s="60">
        <f t="shared" si="11"/>
        <v>0</v>
      </c>
      <c r="X72" s="60">
        <f t="shared" si="11"/>
        <v>22.7</v>
      </c>
      <c r="Y72" s="60">
        <f t="shared" si="11"/>
        <v>59.3</v>
      </c>
      <c r="Z72" s="60">
        <f t="shared" si="10"/>
        <v>80.400000000000006</v>
      </c>
      <c r="AA72" s="60">
        <f>AA69+AA70+AA71</f>
        <v>69.5</v>
      </c>
      <c r="AB72" s="60">
        <f t="shared" si="10"/>
        <v>56.8</v>
      </c>
      <c r="AC72" s="60">
        <f t="shared" si="10"/>
        <v>24</v>
      </c>
      <c r="AD72" s="60">
        <f t="shared" si="10"/>
        <v>0</v>
      </c>
      <c r="AE72" s="60">
        <f t="shared" si="10"/>
        <v>0</v>
      </c>
      <c r="AF72" s="60">
        <f t="shared" si="10"/>
        <v>0</v>
      </c>
      <c r="AG72" s="61">
        <f>SUM(AG69:AG71)</f>
        <v>106</v>
      </c>
      <c r="AH72" s="47">
        <f t="shared" si="2"/>
        <v>80.400000000000006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-20</v>
      </c>
      <c r="C73" s="45"/>
      <c r="D73" s="45">
        <v>-24</v>
      </c>
      <c r="E73" s="45">
        <v>-29.2</v>
      </c>
      <c r="F73" s="45">
        <v>-33.5</v>
      </c>
      <c r="G73" s="45">
        <v>-36.4</v>
      </c>
      <c r="H73" s="45">
        <v>-37.299999999999997</v>
      </c>
      <c r="I73" s="45">
        <v>-43.1</v>
      </c>
      <c r="J73" s="45">
        <v>-52</v>
      </c>
      <c r="K73" s="45">
        <v>-57.6</v>
      </c>
      <c r="L73" s="45">
        <v>-58.4</v>
      </c>
      <c r="M73" s="45">
        <v>-60.6</v>
      </c>
      <c r="N73" s="45">
        <v>-27.5</v>
      </c>
      <c r="O73" s="45">
        <v>26</v>
      </c>
      <c r="P73" s="45">
        <v>-5.8</v>
      </c>
      <c r="Q73" s="45">
        <v>-37.799999999999997</v>
      </c>
      <c r="R73" s="45">
        <v>-43.5</v>
      </c>
      <c r="S73" s="45">
        <v>-49.1</v>
      </c>
      <c r="T73" s="45">
        <v>-53.2</v>
      </c>
      <c r="U73" s="45">
        <v>-51.4</v>
      </c>
      <c r="V73" s="45">
        <v>-44.3</v>
      </c>
      <c r="W73" s="45">
        <v>-11.5</v>
      </c>
      <c r="X73" s="45">
        <v>-12.2</v>
      </c>
      <c r="Y73" s="45">
        <v>28.1</v>
      </c>
      <c r="Z73" s="45">
        <v>62.5</v>
      </c>
      <c r="AA73" s="45">
        <v>54.6</v>
      </c>
      <c r="AB73" s="45">
        <v>-10.199999999999999</v>
      </c>
      <c r="AC73" s="45">
        <v>25.8</v>
      </c>
      <c r="AD73" s="45">
        <v>25</v>
      </c>
      <c r="AE73" s="45">
        <v>-48.1</v>
      </c>
      <c r="AF73" s="45">
        <v>-53.8</v>
      </c>
      <c r="AG73" s="51"/>
      <c r="AH73" s="47">
        <f t="shared" si="2"/>
        <v>62.5</v>
      </c>
      <c r="AI73" s="48">
        <f t="shared" si="3"/>
        <v>-60.6</v>
      </c>
      <c r="AK73" s="50"/>
    </row>
    <row r="74" spans="1:40" x14ac:dyDescent="0.25">
      <c r="A74" s="53" t="s">
        <v>82</v>
      </c>
      <c r="B74" s="64"/>
      <c r="C74" s="64"/>
      <c r="D74" s="64"/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-380</v>
      </c>
      <c r="C75" s="64"/>
      <c r="D75" s="64">
        <v>-305</v>
      </c>
      <c r="E75" s="64">
        <v>-321.39999999999998</v>
      </c>
      <c r="F75" s="64">
        <v>-496</v>
      </c>
      <c r="G75" s="64">
        <v>-460.8</v>
      </c>
      <c r="H75" s="64">
        <v>-574</v>
      </c>
      <c r="I75" s="64">
        <v>-506.5</v>
      </c>
      <c r="J75" s="64">
        <v>-504</v>
      </c>
      <c r="K75" s="64">
        <v>-501.5</v>
      </c>
      <c r="L75" s="64">
        <v>-494.2</v>
      </c>
      <c r="M75" s="64">
        <v>-511.6</v>
      </c>
      <c r="N75" s="64">
        <v>-550.70000000000005</v>
      </c>
      <c r="O75" s="64">
        <v>-483</v>
      </c>
      <c r="P75" s="64">
        <v>-602.70000000000005</v>
      </c>
      <c r="Q75" s="64">
        <v>-591.79999999999995</v>
      </c>
      <c r="R75" s="64">
        <v>-597</v>
      </c>
      <c r="S75" s="64">
        <v>-634</v>
      </c>
      <c r="T75" s="64">
        <v>-668.6</v>
      </c>
      <c r="U75" s="64">
        <v>-606.79999999999995</v>
      </c>
      <c r="V75" s="64">
        <v>-623.4</v>
      </c>
      <c r="W75" s="64">
        <v>-570.20000000000005</v>
      </c>
      <c r="X75" s="64">
        <v>-558.1</v>
      </c>
      <c r="Y75" s="64">
        <v>-547.79999999999995</v>
      </c>
      <c r="Z75" s="64">
        <v>-532</v>
      </c>
      <c r="AA75" s="64">
        <v>-534.6</v>
      </c>
      <c r="AB75" s="64">
        <v>-530</v>
      </c>
      <c r="AC75" s="64">
        <v>-542</v>
      </c>
      <c r="AD75" s="64">
        <v>-564</v>
      </c>
      <c r="AE75" s="64">
        <v>-615</v>
      </c>
      <c r="AF75" s="64">
        <v>-605.5</v>
      </c>
      <c r="AG75" s="74"/>
      <c r="AH75" s="47">
        <f t="shared" si="2"/>
        <v>-305</v>
      </c>
      <c r="AI75" s="48">
        <f t="shared" si="3"/>
        <v>-668.6</v>
      </c>
      <c r="AK75" s="50"/>
    </row>
    <row r="76" spans="1:40" x14ac:dyDescent="0.25">
      <c r="A76" s="53" t="s">
        <v>84</v>
      </c>
      <c r="B76" s="64"/>
      <c r="C76" s="64"/>
      <c r="D76" s="64"/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75">
        <v>0</v>
      </c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2">MAX(B77:AF77)</f>
        <v>0</v>
      </c>
      <c r="AI77" s="48">
        <f t="shared" ref="AI77:AI120" si="13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>
        <v>0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>
        <v>5</v>
      </c>
      <c r="Y78" s="76">
        <v>5</v>
      </c>
      <c r="Z78" s="76">
        <v>5</v>
      </c>
      <c r="AA78" s="76">
        <v>5</v>
      </c>
      <c r="AB78" s="76">
        <v>0</v>
      </c>
      <c r="AC78" s="76"/>
      <c r="AD78" s="76"/>
      <c r="AE78" s="76"/>
      <c r="AF78" s="76"/>
      <c r="AG78" s="74"/>
      <c r="AH78" s="47">
        <f t="shared" si="12"/>
        <v>5</v>
      </c>
      <c r="AI78" s="48">
        <f t="shared" si="13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>
        <v>0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2"/>
        <v>0</v>
      </c>
      <c r="AI79" s="48">
        <f t="shared" si="13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>
        <v>0</v>
      </c>
      <c r="F80" s="76">
        <v>0</v>
      </c>
      <c r="G80" s="76">
        <v>0</v>
      </c>
      <c r="H80" s="76">
        <v>0</v>
      </c>
      <c r="I80" s="76">
        <v>0</v>
      </c>
      <c r="J80" s="76">
        <v>0</v>
      </c>
      <c r="K80" s="76">
        <v>0</v>
      </c>
      <c r="L80" s="76">
        <v>0</v>
      </c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2"/>
        <v>0</v>
      </c>
      <c r="AI80" s="48">
        <f t="shared" si="13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>
        <v>0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2"/>
        <v>0</v>
      </c>
      <c r="AI81" s="48">
        <f t="shared" si="13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>
        <v>0</v>
      </c>
      <c r="F82" s="76">
        <v>0</v>
      </c>
      <c r="G82" s="76">
        <v>0</v>
      </c>
      <c r="H82" s="76">
        <v>0</v>
      </c>
      <c r="I82" s="76">
        <v>0</v>
      </c>
      <c r="J82" s="76">
        <v>0</v>
      </c>
      <c r="K82" s="76">
        <v>0</v>
      </c>
      <c r="L82" s="76">
        <v>0</v>
      </c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2"/>
        <v>0</v>
      </c>
      <c r="AI82" s="48">
        <f t="shared" si="13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>
        <v>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2"/>
        <v>0</v>
      </c>
      <c r="AI83" s="48">
        <f t="shared" si="13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4">SUMIF(B73:B83,"&gt;0")</f>
        <v>0</v>
      </c>
      <c r="C84" s="60">
        <f t="shared" si="14"/>
        <v>0</v>
      </c>
      <c r="D84" s="60">
        <f t="shared" si="14"/>
        <v>0</v>
      </c>
      <c r="E84" s="60">
        <f t="shared" si="14"/>
        <v>0</v>
      </c>
      <c r="F84" s="60">
        <f t="shared" si="14"/>
        <v>0</v>
      </c>
      <c r="G84" s="60">
        <f t="shared" si="14"/>
        <v>0</v>
      </c>
      <c r="H84" s="60">
        <f t="shared" si="14"/>
        <v>0</v>
      </c>
      <c r="I84" s="60">
        <f t="shared" si="14"/>
        <v>0</v>
      </c>
      <c r="J84" s="60">
        <f t="shared" si="14"/>
        <v>0</v>
      </c>
      <c r="K84" s="60">
        <f t="shared" si="14"/>
        <v>0</v>
      </c>
      <c r="L84" s="60">
        <f t="shared" si="14"/>
        <v>0</v>
      </c>
      <c r="M84" s="60">
        <f t="shared" si="14"/>
        <v>0</v>
      </c>
      <c r="N84" s="60">
        <f t="shared" si="14"/>
        <v>0</v>
      </c>
      <c r="O84" s="60">
        <f t="shared" si="14"/>
        <v>26</v>
      </c>
      <c r="P84" s="60">
        <f t="shared" si="14"/>
        <v>0</v>
      </c>
      <c r="Q84" s="60">
        <f t="shared" si="14"/>
        <v>0</v>
      </c>
      <c r="R84" s="60">
        <f t="shared" si="14"/>
        <v>0</v>
      </c>
      <c r="S84" s="60">
        <f t="shared" ref="S84:Y84" si="15">SUMIF(S73:S83,"&gt;0")</f>
        <v>0</v>
      </c>
      <c r="T84" s="60">
        <f t="shared" si="15"/>
        <v>0</v>
      </c>
      <c r="U84" s="60">
        <f t="shared" si="15"/>
        <v>0</v>
      </c>
      <c r="V84" s="60">
        <f t="shared" si="15"/>
        <v>0</v>
      </c>
      <c r="W84" s="60">
        <f t="shared" si="15"/>
        <v>0</v>
      </c>
      <c r="X84" s="60">
        <f t="shared" si="15"/>
        <v>5</v>
      </c>
      <c r="Y84" s="60">
        <f t="shared" si="15"/>
        <v>33.1</v>
      </c>
      <c r="Z84" s="60">
        <f t="shared" si="14"/>
        <v>67.5</v>
      </c>
      <c r="AA84" s="60">
        <f>SUMIF(AA73:AA83,"&gt;0")</f>
        <v>59.6</v>
      </c>
      <c r="AB84" s="60">
        <f t="shared" si="14"/>
        <v>0</v>
      </c>
      <c r="AC84" s="60">
        <f t="shared" si="14"/>
        <v>25.8</v>
      </c>
      <c r="AD84" s="60">
        <f t="shared" si="14"/>
        <v>25</v>
      </c>
      <c r="AE84" s="60">
        <f t="shared" si="14"/>
        <v>0</v>
      </c>
      <c r="AF84" s="60">
        <f t="shared" si="14"/>
        <v>0</v>
      </c>
      <c r="AG84" s="87">
        <f>SUM(AG73:AG83)</f>
        <v>0</v>
      </c>
      <c r="AH84" s="47">
        <f t="shared" si="12"/>
        <v>67.5</v>
      </c>
      <c r="AI84" s="48">
        <f t="shared" si="13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2"/>
        <v>0</v>
      </c>
      <c r="AI85" s="48">
        <f t="shared" si="13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2"/>
        <v>0</v>
      </c>
      <c r="AI86" s="48">
        <f t="shared" si="13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2"/>
        <v>0</v>
      </c>
      <c r="AI87" s="48">
        <f t="shared" si="13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2"/>
        <v>0</v>
      </c>
      <c r="AI88" s="48">
        <f t="shared" si="13"/>
        <v>0</v>
      </c>
    </row>
    <row r="89" spans="1:40" ht="15.75" thickBot="1" x14ac:dyDescent="0.3">
      <c r="A89" s="73" t="s">
        <v>100</v>
      </c>
      <c r="B89" s="94">
        <f t="shared" ref="B89:AG89" si="16">B50+B54+B72+B68+B84+B88</f>
        <v>2152.3399999999997</v>
      </c>
      <c r="C89" s="94">
        <f t="shared" si="16"/>
        <v>3.54</v>
      </c>
      <c r="D89" s="94">
        <f t="shared" si="16"/>
        <v>1804.8400000000001</v>
      </c>
      <c r="E89" s="94">
        <f t="shared" si="16"/>
        <v>1800.14</v>
      </c>
      <c r="F89" s="94">
        <f t="shared" si="16"/>
        <v>1970.54</v>
      </c>
      <c r="G89" s="94">
        <f t="shared" si="16"/>
        <v>2050.7400000000002</v>
      </c>
      <c r="H89" s="94">
        <f t="shared" si="16"/>
        <v>2050.84</v>
      </c>
      <c r="I89" s="94">
        <f t="shared" si="16"/>
        <v>2045.84</v>
      </c>
      <c r="J89" s="94">
        <f t="shared" si="16"/>
        <v>2045.84</v>
      </c>
      <c r="K89" s="94">
        <f t="shared" si="16"/>
        <v>2075.44</v>
      </c>
      <c r="L89" s="94">
        <f t="shared" si="16"/>
        <v>2076.1400000000003</v>
      </c>
      <c r="M89" s="94">
        <f t="shared" si="16"/>
        <v>2054.1400000000003</v>
      </c>
      <c r="N89" s="94">
        <f t="shared" si="16"/>
        <v>2026.1399999999999</v>
      </c>
      <c r="O89" s="94">
        <f t="shared" si="16"/>
        <v>2023.64</v>
      </c>
      <c r="P89" s="94">
        <f t="shared" si="16"/>
        <v>2003.04</v>
      </c>
      <c r="Q89" s="94">
        <f t="shared" si="16"/>
        <v>1972.8399999999997</v>
      </c>
      <c r="R89" s="94">
        <f t="shared" si="16"/>
        <v>1956.0399999999997</v>
      </c>
      <c r="S89" s="94">
        <f t="shared" ref="S89:Y89" si="17">S50+S54+S72+S68+S84+S88</f>
        <v>1984.7399999999998</v>
      </c>
      <c r="T89" s="94">
        <f t="shared" si="17"/>
        <v>1986.8400000000001</v>
      </c>
      <c r="U89" s="94">
        <f t="shared" si="17"/>
        <v>1880.94</v>
      </c>
      <c r="V89" s="94">
        <f t="shared" si="17"/>
        <v>1882.44</v>
      </c>
      <c r="W89" s="94">
        <f t="shared" si="17"/>
        <v>1902.44</v>
      </c>
      <c r="X89" s="94">
        <f t="shared" si="17"/>
        <v>1985.24</v>
      </c>
      <c r="Y89" s="94">
        <f t="shared" si="17"/>
        <v>2039.8399999999997</v>
      </c>
      <c r="Z89" s="94">
        <f t="shared" si="16"/>
        <v>2099.54</v>
      </c>
      <c r="AA89" s="94">
        <f>AA50+AA54+AA72+AA68+AA84+AA88</f>
        <v>2080.7399999999998</v>
      </c>
      <c r="AB89" s="94">
        <f t="shared" si="16"/>
        <v>2023.4399999999998</v>
      </c>
      <c r="AC89" s="94">
        <f t="shared" si="16"/>
        <v>2016.4399999999998</v>
      </c>
      <c r="AD89" s="94">
        <f t="shared" si="16"/>
        <v>1994.2400000000002</v>
      </c>
      <c r="AE89" s="94">
        <f t="shared" si="16"/>
        <v>2041.84</v>
      </c>
      <c r="AF89" s="94">
        <f t="shared" si="16"/>
        <v>2014.2399999999998</v>
      </c>
      <c r="AG89" s="61">
        <f t="shared" si="16"/>
        <v>2111.5500000000002</v>
      </c>
      <c r="AH89" s="47">
        <f t="shared" si="12"/>
        <v>2152.3399999999997</v>
      </c>
      <c r="AI89" s="48">
        <f t="shared" si="13"/>
        <v>3.54</v>
      </c>
    </row>
    <row r="90" spans="1:40" ht="15.75" thickBot="1" x14ac:dyDescent="0.3">
      <c r="A90" s="95" t="s">
        <v>101</v>
      </c>
      <c r="B90" s="96"/>
      <c r="C90" s="96">
        <v>100</v>
      </c>
      <c r="D90" s="96">
        <v>100</v>
      </c>
      <c r="E90" s="96">
        <v>100</v>
      </c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2"/>
        <v>100</v>
      </c>
      <c r="AI90" s="48">
        <f t="shared" si="13"/>
        <v>100</v>
      </c>
    </row>
    <row r="91" spans="1:40" ht="15.75" thickBot="1" x14ac:dyDescent="0.3">
      <c r="A91" s="73" t="s">
        <v>102</v>
      </c>
      <c r="B91" s="94">
        <f t="shared" ref="B91:AF91" si="18">B89+B90</f>
        <v>2152.3399999999997</v>
      </c>
      <c r="C91" s="94">
        <f t="shared" si="18"/>
        <v>103.54</v>
      </c>
      <c r="D91" s="94">
        <f t="shared" si="18"/>
        <v>1904.8400000000001</v>
      </c>
      <c r="E91" s="94">
        <f t="shared" si="18"/>
        <v>1900.14</v>
      </c>
      <c r="F91" s="94">
        <f t="shared" si="18"/>
        <v>1970.54</v>
      </c>
      <c r="G91" s="94">
        <f t="shared" si="18"/>
        <v>2050.7400000000002</v>
      </c>
      <c r="H91" s="94">
        <f t="shared" si="18"/>
        <v>2050.84</v>
      </c>
      <c r="I91" s="94">
        <f t="shared" si="18"/>
        <v>2045.84</v>
      </c>
      <c r="J91" s="94">
        <f t="shared" si="18"/>
        <v>2045.84</v>
      </c>
      <c r="K91" s="94">
        <f t="shared" si="18"/>
        <v>2075.44</v>
      </c>
      <c r="L91" s="94">
        <f t="shared" si="18"/>
        <v>2076.1400000000003</v>
      </c>
      <c r="M91" s="94">
        <f t="shared" si="18"/>
        <v>2054.1400000000003</v>
      </c>
      <c r="N91" s="94">
        <f t="shared" si="18"/>
        <v>2026.1399999999999</v>
      </c>
      <c r="O91" s="94">
        <f t="shared" si="18"/>
        <v>2023.64</v>
      </c>
      <c r="P91" s="94">
        <f t="shared" si="18"/>
        <v>2003.04</v>
      </c>
      <c r="Q91" s="94">
        <f t="shared" si="18"/>
        <v>1972.8399999999997</v>
      </c>
      <c r="R91" s="94">
        <f t="shared" si="18"/>
        <v>1956.0399999999997</v>
      </c>
      <c r="S91" s="94">
        <f t="shared" ref="S91:Y91" si="19">S89+S90</f>
        <v>1984.7399999999998</v>
      </c>
      <c r="T91" s="94">
        <f t="shared" si="19"/>
        <v>1986.8400000000001</v>
      </c>
      <c r="U91" s="94">
        <f t="shared" si="19"/>
        <v>1880.94</v>
      </c>
      <c r="V91" s="94">
        <f t="shared" si="19"/>
        <v>1882.44</v>
      </c>
      <c r="W91" s="94">
        <f t="shared" si="19"/>
        <v>1902.44</v>
      </c>
      <c r="X91" s="94">
        <f t="shared" si="19"/>
        <v>1985.24</v>
      </c>
      <c r="Y91" s="94">
        <f t="shared" si="19"/>
        <v>2039.8399999999997</v>
      </c>
      <c r="Z91" s="94">
        <f t="shared" si="18"/>
        <v>2099.54</v>
      </c>
      <c r="AA91" s="94">
        <f>AA89+AA90</f>
        <v>2080.7399999999998</v>
      </c>
      <c r="AB91" s="94">
        <f t="shared" si="18"/>
        <v>2023.4399999999998</v>
      </c>
      <c r="AC91" s="94">
        <f t="shared" si="18"/>
        <v>2016.4399999999998</v>
      </c>
      <c r="AD91" s="94">
        <f t="shared" si="18"/>
        <v>1994.2400000000002</v>
      </c>
      <c r="AE91" s="94">
        <f t="shared" si="18"/>
        <v>2041.84</v>
      </c>
      <c r="AF91" s="94">
        <f t="shared" si="18"/>
        <v>2014.2399999999998</v>
      </c>
      <c r="AG91" s="87">
        <f>AG88+AG84+AG72+AG68+AG50+AG90</f>
        <v>1573.45</v>
      </c>
      <c r="AH91" s="47">
        <f t="shared" si="12"/>
        <v>2152.3399999999997</v>
      </c>
      <c r="AI91" s="48">
        <f t="shared" si="13"/>
        <v>103.54</v>
      </c>
    </row>
    <row r="92" spans="1:40" ht="15.75" thickBot="1" x14ac:dyDescent="0.3">
      <c r="A92" s="73" t="s">
        <v>103</v>
      </c>
      <c r="B92" s="94">
        <f>B91-(-B99)</f>
        <v>1772.3399999999997</v>
      </c>
      <c r="C92" s="94">
        <f t="shared" ref="C92:AF92" si="20">C91-(-C99)</f>
        <v>103.54</v>
      </c>
      <c r="D92" s="94">
        <f t="shared" si="20"/>
        <v>1599.8400000000001</v>
      </c>
      <c r="E92" s="94">
        <f t="shared" si="20"/>
        <v>1578.7400000000002</v>
      </c>
      <c r="F92" s="94">
        <f t="shared" si="20"/>
        <v>1474.54</v>
      </c>
      <c r="G92" s="94">
        <f t="shared" si="20"/>
        <v>1589.9400000000003</v>
      </c>
      <c r="H92" s="94">
        <f t="shared" si="20"/>
        <v>1476.8400000000001</v>
      </c>
      <c r="I92" s="94">
        <f t="shared" si="20"/>
        <v>1539.34</v>
      </c>
      <c r="J92" s="94">
        <f t="shared" si="20"/>
        <v>1541.84</v>
      </c>
      <c r="K92" s="94">
        <f t="shared" si="20"/>
        <v>1573.94</v>
      </c>
      <c r="L92" s="94">
        <f t="shared" si="20"/>
        <v>1581.9400000000003</v>
      </c>
      <c r="M92" s="94">
        <f t="shared" si="20"/>
        <v>1542.5400000000004</v>
      </c>
      <c r="N92" s="94">
        <f t="shared" si="20"/>
        <v>1475.4399999999998</v>
      </c>
      <c r="O92" s="94">
        <f t="shared" si="20"/>
        <v>1540.64</v>
      </c>
      <c r="P92" s="94">
        <f t="shared" si="20"/>
        <v>1400.34</v>
      </c>
      <c r="Q92" s="94">
        <f t="shared" si="20"/>
        <v>1381.0399999999997</v>
      </c>
      <c r="R92" s="94">
        <f t="shared" si="20"/>
        <v>1359.0399999999997</v>
      </c>
      <c r="S92" s="94">
        <f t="shared" ref="S92:Y92" si="21">S91-(-S99)</f>
        <v>1350.7399999999998</v>
      </c>
      <c r="T92" s="94">
        <f t="shared" si="21"/>
        <v>1318.2400000000002</v>
      </c>
      <c r="U92" s="94">
        <f t="shared" si="21"/>
        <v>1274.1400000000001</v>
      </c>
      <c r="V92" s="94">
        <f t="shared" si="21"/>
        <v>1259.04</v>
      </c>
      <c r="W92" s="94">
        <f t="shared" si="21"/>
        <v>1332.24</v>
      </c>
      <c r="X92" s="94">
        <f t="shared" si="21"/>
        <v>1427.1399999999999</v>
      </c>
      <c r="Y92" s="94">
        <f t="shared" si="21"/>
        <v>1492.0399999999997</v>
      </c>
      <c r="Z92" s="94">
        <f t="shared" si="20"/>
        <v>1567.54</v>
      </c>
      <c r="AA92" s="94">
        <f>AA91-(-AA99)</f>
        <v>1546.1399999999999</v>
      </c>
      <c r="AB92" s="94">
        <f t="shared" si="20"/>
        <v>1493.4399999999998</v>
      </c>
      <c r="AC92" s="94">
        <f t="shared" si="20"/>
        <v>1474.4399999999998</v>
      </c>
      <c r="AD92" s="94">
        <f t="shared" si="20"/>
        <v>1430.2400000000002</v>
      </c>
      <c r="AE92" s="94">
        <f t="shared" si="20"/>
        <v>1426.84</v>
      </c>
      <c r="AF92" s="94">
        <f t="shared" si="20"/>
        <v>1408.7399999999998</v>
      </c>
      <c r="AG92" s="87"/>
      <c r="AH92" s="47">
        <f t="shared" si="12"/>
        <v>1772.3399999999997</v>
      </c>
      <c r="AI92" s="48">
        <f t="shared" si="13"/>
        <v>103.54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2"/>
        <v>0</v>
      </c>
      <c r="AI93" s="48">
        <f t="shared" si="13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2"/>
        <v>0</v>
      </c>
      <c r="AI94" s="48">
        <f t="shared" si="13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2"/>
        <v>0</v>
      </c>
      <c r="AI95" s="48">
        <f t="shared" si="13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2"/>
        <v>0</v>
      </c>
      <c r="AI96" s="48">
        <f t="shared" si="13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2"/>
        <v>0</v>
      </c>
      <c r="AI97" s="48">
        <f t="shared" si="13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2"/>
        <v>0</v>
      </c>
      <c r="AI98" s="48">
        <f t="shared" si="13"/>
        <v>0</v>
      </c>
    </row>
    <row r="99" spans="1:37" ht="15.75" thickBot="1" x14ac:dyDescent="0.3">
      <c r="A99" s="98" t="s">
        <v>107</v>
      </c>
      <c r="B99" s="60">
        <f>B75</f>
        <v>-380</v>
      </c>
      <c r="C99" s="60">
        <f t="shared" ref="C99:AF99" si="22">C75</f>
        <v>0</v>
      </c>
      <c r="D99" s="60">
        <f t="shared" si="22"/>
        <v>-305</v>
      </c>
      <c r="E99" s="60">
        <f t="shared" si="22"/>
        <v>-321.39999999999998</v>
      </c>
      <c r="F99" s="60">
        <f t="shared" si="22"/>
        <v>-496</v>
      </c>
      <c r="G99" s="60">
        <f t="shared" si="22"/>
        <v>-460.8</v>
      </c>
      <c r="H99" s="60">
        <f t="shared" si="22"/>
        <v>-574</v>
      </c>
      <c r="I99" s="60">
        <f t="shared" si="22"/>
        <v>-506.5</v>
      </c>
      <c r="J99" s="60">
        <f t="shared" si="22"/>
        <v>-504</v>
      </c>
      <c r="K99" s="60">
        <f t="shared" si="22"/>
        <v>-501.5</v>
      </c>
      <c r="L99" s="60">
        <f t="shared" si="22"/>
        <v>-494.2</v>
      </c>
      <c r="M99" s="60">
        <f t="shared" si="22"/>
        <v>-511.6</v>
      </c>
      <c r="N99" s="60">
        <f t="shared" si="22"/>
        <v>-550.70000000000005</v>
      </c>
      <c r="O99" s="60">
        <f t="shared" si="22"/>
        <v>-483</v>
      </c>
      <c r="P99" s="60">
        <f t="shared" si="22"/>
        <v>-602.70000000000005</v>
      </c>
      <c r="Q99" s="60">
        <f t="shared" si="22"/>
        <v>-591.79999999999995</v>
      </c>
      <c r="R99" s="60">
        <f t="shared" si="22"/>
        <v>-597</v>
      </c>
      <c r="S99" s="60">
        <f t="shared" ref="S99:Y99" si="23">S75</f>
        <v>-634</v>
      </c>
      <c r="T99" s="60">
        <f t="shared" si="23"/>
        <v>-668.6</v>
      </c>
      <c r="U99" s="60">
        <f t="shared" si="23"/>
        <v>-606.79999999999995</v>
      </c>
      <c r="V99" s="60">
        <f t="shared" si="23"/>
        <v>-623.4</v>
      </c>
      <c r="W99" s="60">
        <f t="shared" si="23"/>
        <v>-570.20000000000005</v>
      </c>
      <c r="X99" s="60">
        <f t="shared" si="23"/>
        <v>-558.1</v>
      </c>
      <c r="Y99" s="60">
        <f t="shared" si="23"/>
        <v>-547.79999999999995</v>
      </c>
      <c r="Z99" s="60">
        <f t="shared" si="22"/>
        <v>-532</v>
      </c>
      <c r="AA99" s="60">
        <f>AA75</f>
        <v>-534.6</v>
      </c>
      <c r="AB99" s="60">
        <f t="shared" si="22"/>
        <v>-530</v>
      </c>
      <c r="AC99" s="60">
        <f t="shared" si="22"/>
        <v>-542</v>
      </c>
      <c r="AD99" s="60">
        <f t="shared" si="22"/>
        <v>-564</v>
      </c>
      <c r="AE99" s="60">
        <f t="shared" si="22"/>
        <v>-615</v>
      </c>
      <c r="AF99" s="60">
        <f t="shared" si="22"/>
        <v>-605.5</v>
      </c>
      <c r="AG99" s="87"/>
      <c r="AH99" s="47">
        <f t="shared" si="12"/>
        <v>0</v>
      </c>
      <c r="AI99" s="48">
        <f t="shared" si="13"/>
        <v>-668.6</v>
      </c>
      <c r="AK99" s="50"/>
    </row>
    <row r="100" spans="1:37" ht="15.75" thickBot="1" x14ac:dyDescent="0.3">
      <c r="A100" s="73" t="s">
        <v>108</v>
      </c>
      <c r="B100" s="60">
        <f t="shared" ref="B100:AF100" si="24">B84-B99</f>
        <v>380</v>
      </c>
      <c r="C100" s="60">
        <f t="shared" si="24"/>
        <v>0</v>
      </c>
      <c r="D100" s="60">
        <f t="shared" si="24"/>
        <v>305</v>
      </c>
      <c r="E100" s="60">
        <f t="shared" si="24"/>
        <v>321.39999999999998</v>
      </c>
      <c r="F100" s="60">
        <f t="shared" si="24"/>
        <v>496</v>
      </c>
      <c r="G100" s="60">
        <f t="shared" si="24"/>
        <v>460.8</v>
      </c>
      <c r="H100" s="60">
        <f t="shared" si="24"/>
        <v>574</v>
      </c>
      <c r="I100" s="60">
        <f t="shared" si="24"/>
        <v>506.5</v>
      </c>
      <c r="J100" s="60">
        <f t="shared" si="24"/>
        <v>504</v>
      </c>
      <c r="K100" s="60">
        <f t="shared" si="24"/>
        <v>501.5</v>
      </c>
      <c r="L100" s="60">
        <f t="shared" si="24"/>
        <v>494.2</v>
      </c>
      <c r="M100" s="60">
        <f t="shared" si="24"/>
        <v>511.6</v>
      </c>
      <c r="N100" s="60">
        <f t="shared" si="24"/>
        <v>550.70000000000005</v>
      </c>
      <c r="O100" s="60">
        <f t="shared" si="24"/>
        <v>509</v>
      </c>
      <c r="P100" s="60">
        <f t="shared" si="24"/>
        <v>602.70000000000005</v>
      </c>
      <c r="Q100" s="60">
        <f t="shared" si="24"/>
        <v>591.79999999999995</v>
      </c>
      <c r="R100" s="60">
        <f t="shared" si="24"/>
        <v>597</v>
      </c>
      <c r="S100" s="60">
        <f t="shared" ref="S100:Y100" si="25">S84-S99</f>
        <v>634</v>
      </c>
      <c r="T100" s="60">
        <f t="shared" si="25"/>
        <v>668.6</v>
      </c>
      <c r="U100" s="60">
        <f t="shared" si="25"/>
        <v>606.79999999999995</v>
      </c>
      <c r="V100" s="60">
        <f t="shared" si="25"/>
        <v>623.4</v>
      </c>
      <c r="W100" s="60">
        <f t="shared" si="25"/>
        <v>570.20000000000005</v>
      </c>
      <c r="X100" s="60">
        <f t="shared" si="25"/>
        <v>563.1</v>
      </c>
      <c r="Y100" s="60">
        <f t="shared" si="25"/>
        <v>580.9</v>
      </c>
      <c r="Z100" s="60">
        <f t="shared" si="24"/>
        <v>599.5</v>
      </c>
      <c r="AA100" s="60">
        <f>AA84-AA99</f>
        <v>594.20000000000005</v>
      </c>
      <c r="AB100" s="60">
        <f t="shared" si="24"/>
        <v>530</v>
      </c>
      <c r="AC100" s="60">
        <f t="shared" si="24"/>
        <v>567.79999999999995</v>
      </c>
      <c r="AD100" s="60">
        <f t="shared" si="24"/>
        <v>589</v>
      </c>
      <c r="AE100" s="60">
        <f t="shared" si="24"/>
        <v>615</v>
      </c>
      <c r="AF100" s="60">
        <f t="shared" si="24"/>
        <v>605.5</v>
      </c>
      <c r="AG100" s="87"/>
      <c r="AH100" s="47">
        <f t="shared" si="12"/>
        <v>668.6</v>
      </c>
      <c r="AI100" s="48">
        <f t="shared" si="13"/>
        <v>0</v>
      </c>
    </row>
    <row r="101" spans="1:37" x14ac:dyDescent="0.25">
      <c r="A101" s="99" t="s">
        <v>109</v>
      </c>
      <c r="B101" s="100">
        <v>50.087000000000003</v>
      </c>
      <c r="C101" s="100"/>
      <c r="D101" s="100">
        <v>49.970999999999997</v>
      </c>
      <c r="E101" s="100">
        <v>50.026000000000003</v>
      </c>
      <c r="F101" s="100">
        <v>50.033000000000001</v>
      </c>
      <c r="G101" s="100">
        <v>49.91</v>
      </c>
      <c r="H101" s="100">
        <v>50.0229</v>
      </c>
      <c r="I101" s="100">
        <v>50.024000000000001</v>
      </c>
      <c r="J101" s="100">
        <v>50.034999999999997</v>
      </c>
      <c r="K101" s="100">
        <v>50.005000000000003</v>
      </c>
      <c r="L101" s="100">
        <v>49.963999999999999</v>
      </c>
      <c r="M101" s="100">
        <v>50.058999999999997</v>
      </c>
      <c r="N101" s="100">
        <v>50.018999999999998</v>
      </c>
      <c r="O101" s="100">
        <v>49.857999999999997</v>
      </c>
      <c r="P101" s="100">
        <v>49.936999999999998</v>
      </c>
      <c r="Q101" s="100">
        <v>50.000999999999998</v>
      </c>
      <c r="R101" s="100">
        <v>49.95</v>
      </c>
      <c r="S101" s="100">
        <v>50.054000000000002</v>
      </c>
      <c r="T101" s="100">
        <v>49.81</v>
      </c>
      <c r="U101" s="100">
        <v>49.802</v>
      </c>
      <c r="V101" s="100">
        <v>49.94</v>
      </c>
      <c r="W101" s="100">
        <v>50</v>
      </c>
      <c r="X101" s="100">
        <v>49.97</v>
      </c>
      <c r="Y101" s="100">
        <v>49.94</v>
      </c>
      <c r="Z101" s="100">
        <v>50.05</v>
      </c>
      <c r="AA101" s="100">
        <v>50.015000000000001</v>
      </c>
      <c r="AB101" s="100">
        <v>50.1</v>
      </c>
      <c r="AC101" s="100">
        <v>50</v>
      </c>
      <c r="AD101" s="100">
        <v>50.036999999999999</v>
      </c>
      <c r="AE101" s="100">
        <v>50.084000000000003</v>
      </c>
      <c r="AF101" s="100">
        <v>49.975999999999999</v>
      </c>
      <c r="AG101" s="101"/>
      <c r="AH101" s="47">
        <f t="shared" si="12"/>
        <v>50.1</v>
      </c>
      <c r="AI101" s="48">
        <f t="shared" si="13"/>
        <v>49.802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2"/>
        <v>0</v>
      </c>
      <c r="AI102" s="48">
        <f t="shared" si="13"/>
        <v>0</v>
      </c>
    </row>
    <row r="103" spans="1:37" x14ac:dyDescent="0.25">
      <c r="A103" s="102" t="s">
        <v>111</v>
      </c>
      <c r="B103" s="64">
        <v>129</v>
      </c>
      <c r="C103" s="64"/>
      <c r="D103" s="64">
        <v>130</v>
      </c>
      <c r="E103" s="64">
        <v>130.80000000000001</v>
      </c>
      <c r="F103" s="64">
        <v>126.7</v>
      </c>
      <c r="G103" s="64">
        <v>127.9</v>
      </c>
      <c r="H103" s="64">
        <v>128.4</v>
      </c>
      <c r="I103" s="64">
        <v>128.6</v>
      </c>
      <c r="J103" s="64">
        <v>126.8</v>
      </c>
      <c r="K103" s="64">
        <v>127.2</v>
      </c>
      <c r="L103" s="64">
        <v>126.9</v>
      </c>
      <c r="M103" s="64">
        <v>127</v>
      </c>
      <c r="N103" s="64">
        <v>128</v>
      </c>
      <c r="O103" s="64">
        <v>128</v>
      </c>
      <c r="P103" s="64">
        <v>127.8</v>
      </c>
      <c r="Q103" s="64">
        <v>125.4</v>
      </c>
      <c r="R103" s="64">
        <v>126.8</v>
      </c>
      <c r="S103" s="64">
        <v>126.8</v>
      </c>
      <c r="T103" s="64">
        <v>128.4</v>
      </c>
      <c r="U103" s="64">
        <v>127.6</v>
      </c>
      <c r="V103" s="64">
        <v>127</v>
      </c>
      <c r="W103" s="64">
        <v>127.7</v>
      </c>
      <c r="X103" s="64">
        <v>126.9</v>
      </c>
      <c r="Y103" s="64">
        <v>127.1</v>
      </c>
      <c r="Z103" s="64">
        <v>129.19999999999999</v>
      </c>
      <c r="AA103" s="64">
        <v>129.19999999999999</v>
      </c>
      <c r="AB103" s="64">
        <v>129.5</v>
      </c>
      <c r="AC103" s="64">
        <v>127</v>
      </c>
      <c r="AD103" s="64">
        <v>127</v>
      </c>
      <c r="AE103" s="64">
        <v>129.69999999999999</v>
      </c>
      <c r="AF103" s="64">
        <v>130</v>
      </c>
      <c r="AG103" s="103"/>
      <c r="AH103" s="47">
        <f t="shared" si="12"/>
        <v>130.80000000000001</v>
      </c>
      <c r="AI103" s="48">
        <f t="shared" si="13"/>
        <v>125.4</v>
      </c>
    </row>
    <row r="104" spans="1:37" x14ac:dyDescent="0.25">
      <c r="A104" s="102" t="s">
        <v>112</v>
      </c>
      <c r="B104" s="64">
        <v>127</v>
      </c>
      <c r="C104" s="64"/>
      <c r="D104" s="64">
        <v>127.5</v>
      </c>
      <c r="E104" s="64">
        <v>128.9</v>
      </c>
      <c r="F104" s="64">
        <v>128.19999999999999</v>
      </c>
      <c r="G104" s="64">
        <v>128.6</v>
      </c>
      <c r="H104" s="64">
        <v>129.69999999999999</v>
      </c>
      <c r="I104" s="64">
        <v>131</v>
      </c>
      <c r="J104" s="64">
        <v>127.7</v>
      </c>
      <c r="K104" s="64">
        <v>126.6</v>
      </c>
      <c r="L104" s="64">
        <v>127.7</v>
      </c>
      <c r="M104" s="64">
        <v>132.30000000000001</v>
      </c>
      <c r="N104" s="64">
        <v>134.30000000000001</v>
      </c>
      <c r="O104" s="64">
        <v>129.9</v>
      </c>
      <c r="P104" s="64">
        <v>129.9</v>
      </c>
      <c r="Q104" s="64">
        <v>133</v>
      </c>
      <c r="R104" s="64">
        <v>129.6</v>
      </c>
      <c r="S104" s="64">
        <v>129.6</v>
      </c>
      <c r="T104" s="64">
        <v>130</v>
      </c>
      <c r="U104" s="64">
        <v>129.1</v>
      </c>
      <c r="V104" s="64">
        <v>128</v>
      </c>
      <c r="W104" s="64">
        <v>128.1</v>
      </c>
      <c r="X104" s="64">
        <v>127.7</v>
      </c>
      <c r="Y104" s="64">
        <v>127.6</v>
      </c>
      <c r="Z104" s="64">
        <v>128.6</v>
      </c>
      <c r="AA104" s="64">
        <v>128.6</v>
      </c>
      <c r="AB104" s="64">
        <v>128.80000000000001</v>
      </c>
      <c r="AC104" s="64">
        <v>127</v>
      </c>
      <c r="AD104" s="64">
        <v>127.9</v>
      </c>
      <c r="AE104" s="64">
        <v>127.9</v>
      </c>
      <c r="AF104" s="64">
        <v>130</v>
      </c>
      <c r="AG104" s="103"/>
      <c r="AH104" s="47">
        <f t="shared" si="12"/>
        <v>134.30000000000001</v>
      </c>
      <c r="AI104" s="48">
        <f t="shared" si="13"/>
        <v>126.6</v>
      </c>
    </row>
    <row r="105" spans="1:37" x14ac:dyDescent="0.25">
      <c r="A105" s="104" t="s">
        <v>113</v>
      </c>
      <c r="B105" s="64">
        <v>130</v>
      </c>
      <c r="C105" s="64"/>
      <c r="D105" s="64">
        <v>131</v>
      </c>
      <c r="E105" s="64">
        <v>132.30000000000001</v>
      </c>
      <c r="F105" s="64">
        <v>132.19999999999999</v>
      </c>
      <c r="G105" s="64">
        <v>132.80000000000001</v>
      </c>
      <c r="H105" s="64">
        <v>133.69999999999999</v>
      </c>
      <c r="I105" s="64">
        <v>132.6</v>
      </c>
      <c r="J105" s="64">
        <v>130.4</v>
      </c>
      <c r="K105" s="64">
        <v>129.19999999999999</v>
      </c>
      <c r="L105" s="64">
        <v>129.19999999999999</v>
      </c>
      <c r="M105" s="64">
        <v>137.6</v>
      </c>
      <c r="N105" s="64">
        <v>137.9</v>
      </c>
      <c r="O105" s="64">
        <v>131.80000000000001</v>
      </c>
      <c r="P105" s="64">
        <v>131.4</v>
      </c>
      <c r="Q105" s="64">
        <v>133.9</v>
      </c>
      <c r="R105" s="64">
        <v>130.6</v>
      </c>
      <c r="S105" s="64">
        <v>130.6</v>
      </c>
      <c r="T105" s="64">
        <v>132</v>
      </c>
      <c r="U105" s="64">
        <v>131</v>
      </c>
      <c r="V105" s="64">
        <v>130.6</v>
      </c>
      <c r="W105" s="64">
        <v>129.9</v>
      </c>
      <c r="X105" s="64">
        <v>130.6</v>
      </c>
      <c r="Y105" s="64">
        <v>130.6</v>
      </c>
      <c r="Z105" s="64">
        <v>131.80000000000001</v>
      </c>
      <c r="AA105" s="64">
        <v>131.19999999999999</v>
      </c>
      <c r="AB105" s="64">
        <v>133.5</v>
      </c>
      <c r="AC105" s="64">
        <v>133</v>
      </c>
      <c r="AD105" s="64">
        <v>133</v>
      </c>
      <c r="AE105" s="64">
        <v>132</v>
      </c>
      <c r="AF105" s="64">
        <v>133</v>
      </c>
      <c r="AG105" s="103"/>
      <c r="AH105" s="47">
        <f t="shared" si="12"/>
        <v>137.9</v>
      </c>
      <c r="AI105" s="48">
        <f t="shared" si="13"/>
        <v>129.19999999999999</v>
      </c>
    </row>
    <row r="106" spans="1:37" x14ac:dyDescent="0.25">
      <c r="A106" s="104" t="s">
        <v>114</v>
      </c>
      <c r="B106" s="105">
        <v>132.9</v>
      </c>
      <c r="C106" s="105"/>
      <c r="D106" s="105">
        <v>131.6</v>
      </c>
      <c r="E106" s="105">
        <v>133.30000000000001</v>
      </c>
      <c r="F106" s="105">
        <v>127.8</v>
      </c>
      <c r="G106" s="105">
        <v>135.1</v>
      </c>
      <c r="H106" s="105">
        <v>133.1</v>
      </c>
      <c r="I106" s="105">
        <v>133.30000000000001</v>
      </c>
      <c r="J106" s="105">
        <v>131.6</v>
      </c>
      <c r="K106" s="105">
        <v>132.6</v>
      </c>
      <c r="L106" s="105">
        <v>132.6</v>
      </c>
      <c r="M106" s="105">
        <v>132.6</v>
      </c>
      <c r="N106" s="105">
        <v>131.6</v>
      </c>
      <c r="O106" s="105">
        <v>131.9</v>
      </c>
      <c r="P106" s="105">
        <v>132.19999999999999</v>
      </c>
      <c r="Q106" s="105">
        <v>131.69999999999999</v>
      </c>
      <c r="R106" s="105">
        <v>133.19999999999999</v>
      </c>
      <c r="S106" s="105">
        <v>133.19999999999999</v>
      </c>
      <c r="T106" s="105">
        <v>133.4</v>
      </c>
      <c r="U106" s="105">
        <v>134.6</v>
      </c>
      <c r="V106" s="105">
        <v>134.1</v>
      </c>
      <c r="W106" s="105">
        <v>132.80000000000001</v>
      </c>
      <c r="X106" s="105">
        <v>133.1</v>
      </c>
      <c r="Y106" s="105">
        <v>132.1</v>
      </c>
      <c r="Z106" s="105">
        <v>133.6</v>
      </c>
      <c r="AA106" s="105">
        <v>75.599999999999994</v>
      </c>
      <c r="AB106" s="105">
        <v>133.6</v>
      </c>
      <c r="AC106" s="105">
        <v>132.6</v>
      </c>
      <c r="AD106" s="105">
        <v>132.6</v>
      </c>
      <c r="AE106" s="105">
        <v>131.19999999999999</v>
      </c>
      <c r="AF106" s="105">
        <v>131</v>
      </c>
      <c r="AG106" s="106"/>
      <c r="AH106" s="47">
        <f t="shared" si="12"/>
        <v>135.1</v>
      </c>
      <c r="AI106" s="48">
        <f t="shared" si="13"/>
        <v>75.599999999999994</v>
      </c>
    </row>
    <row r="107" spans="1:37" x14ac:dyDescent="0.25">
      <c r="A107" s="102" t="s">
        <v>115</v>
      </c>
      <c r="B107" s="64">
        <v>132.1</v>
      </c>
      <c r="C107" s="64"/>
      <c r="D107" s="64">
        <v>134.4</v>
      </c>
      <c r="E107" s="64">
        <v>130.4</v>
      </c>
      <c r="F107" s="64">
        <v>131.69999999999999</v>
      </c>
      <c r="G107" s="64">
        <v>132.4</v>
      </c>
      <c r="H107" s="64">
        <v>133</v>
      </c>
      <c r="I107" s="64">
        <v>134.1</v>
      </c>
      <c r="J107" s="64">
        <v>135</v>
      </c>
      <c r="K107" s="64">
        <v>134.6</v>
      </c>
      <c r="L107" s="64">
        <v>134.6</v>
      </c>
      <c r="M107" s="64">
        <v>132.6</v>
      </c>
      <c r="N107" s="64">
        <v>131.4</v>
      </c>
      <c r="O107" s="64">
        <v>129.4</v>
      </c>
      <c r="P107" s="64">
        <v>130.30000000000001</v>
      </c>
      <c r="Q107" s="64">
        <v>132.80000000000001</v>
      </c>
      <c r="R107" s="64">
        <v>132.30000000000001</v>
      </c>
      <c r="S107" s="64">
        <v>132.30000000000001</v>
      </c>
      <c r="T107" s="64">
        <v>133.5</v>
      </c>
      <c r="U107" s="64">
        <v>133.80000000000001</v>
      </c>
      <c r="V107" s="64">
        <v>131.5</v>
      </c>
      <c r="W107" s="64">
        <v>133.1</v>
      </c>
      <c r="X107" s="64">
        <v>134.5</v>
      </c>
      <c r="Y107" s="64">
        <v>129.5</v>
      </c>
      <c r="Z107" s="64">
        <v>127.9</v>
      </c>
      <c r="AA107" s="64">
        <v>131.30000000000001</v>
      </c>
      <c r="AB107" s="64">
        <v>129.30000000000001</v>
      </c>
      <c r="AC107" s="64">
        <v>135</v>
      </c>
      <c r="AD107" s="64">
        <v>134.6</v>
      </c>
      <c r="AE107" s="64">
        <v>131</v>
      </c>
      <c r="AF107" s="64">
        <v>132.9</v>
      </c>
      <c r="AG107" s="103"/>
      <c r="AH107" s="47">
        <f t="shared" si="12"/>
        <v>135</v>
      </c>
      <c r="AI107" s="48">
        <f t="shared" si="13"/>
        <v>127.9</v>
      </c>
    </row>
    <row r="108" spans="1:37" ht="15.75" thickBot="1" x14ac:dyDescent="0.3">
      <c r="A108" s="102" t="s">
        <v>116</v>
      </c>
      <c r="B108" s="91">
        <v>65.400000000000006</v>
      </c>
      <c r="C108" s="91"/>
      <c r="D108" s="91">
        <v>65.2</v>
      </c>
      <c r="E108" s="91">
        <v>65.7</v>
      </c>
      <c r="F108" s="91">
        <v>63.7</v>
      </c>
      <c r="G108" s="91">
        <v>64.5</v>
      </c>
      <c r="H108" s="91">
        <v>64.7</v>
      </c>
      <c r="I108" s="91">
        <v>65.099999999999994</v>
      </c>
      <c r="J108" s="91">
        <v>64</v>
      </c>
      <c r="K108" s="91">
        <v>64.2</v>
      </c>
      <c r="L108" s="91">
        <v>64.2</v>
      </c>
      <c r="M108" s="91">
        <v>64.2</v>
      </c>
      <c r="N108" s="91">
        <v>64.599999999999994</v>
      </c>
      <c r="O108" s="91">
        <v>64.900000000000006</v>
      </c>
      <c r="P108" s="91">
        <v>64.8</v>
      </c>
      <c r="Q108" s="91">
        <v>63.5</v>
      </c>
      <c r="R108" s="91">
        <v>64.099999999999994</v>
      </c>
      <c r="S108" s="91">
        <v>64.099999999999994</v>
      </c>
      <c r="T108" s="91">
        <v>65</v>
      </c>
      <c r="U108" s="91">
        <v>64.599999999999994</v>
      </c>
      <c r="V108" s="91">
        <v>64.2</v>
      </c>
      <c r="W108" s="91">
        <v>64.650000000000006</v>
      </c>
      <c r="X108" s="91">
        <v>64.3</v>
      </c>
      <c r="Y108" s="91">
        <v>64.599999999999994</v>
      </c>
      <c r="Z108" s="91">
        <v>65.2</v>
      </c>
      <c r="AA108" s="91">
        <v>65.2</v>
      </c>
      <c r="AB108" s="91">
        <v>65.7</v>
      </c>
      <c r="AC108" s="91">
        <v>64</v>
      </c>
      <c r="AD108" s="91">
        <v>64.3</v>
      </c>
      <c r="AE108" s="91">
        <v>65.7</v>
      </c>
      <c r="AF108" s="91">
        <v>65.8</v>
      </c>
      <c r="AG108" s="107"/>
      <c r="AH108" s="47">
        <f t="shared" si="12"/>
        <v>65.8</v>
      </c>
      <c r="AI108" s="48">
        <f t="shared" si="13"/>
        <v>63.5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2"/>
        <v>0</v>
      </c>
      <c r="AI109" s="48">
        <f t="shared" si="13"/>
        <v>0</v>
      </c>
    </row>
    <row r="110" spans="1:37" ht="15.75" thickBot="1" x14ac:dyDescent="0.3">
      <c r="A110" s="109" t="s">
        <v>118</v>
      </c>
      <c r="B110" s="110">
        <f t="shared" ref="B110:O110" si="26">SUM(B20,B26,B29:B30,B58,B60:B61,B63,B65,B111:B115,B138,B144,B150,B159,B161,B173,B180,B183:B184,B191,B193,B195,B199:B201,B203:B205,B210,B216:B217,B219:B221,B229,B234)</f>
        <v>63.399999999999991</v>
      </c>
      <c r="C110" s="110">
        <f t="shared" si="26"/>
        <v>0.94</v>
      </c>
      <c r="D110" s="110">
        <f t="shared" si="26"/>
        <v>49.94</v>
      </c>
      <c r="E110" s="110">
        <f t="shared" si="26"/>
        <v>48.139999999999979</v>
      </c>
      <c r="F110" s="110">
        <f t="shared" si="26"/>
        <v>72.139999999999986</v>
      </c>
      <c r="G110" s="110">
        <f t="shared" si="26"/>
        <v>85.939999999999984</v>
      </c>
      <c r="H110" s="110">
        <f t="shared" si="26"/>
        <v>90.939999999999984</v>
      </c>
      <c r="I110" s="110">
        <f t="shared" si="26"/>
        <v>107.43999999999998</v>
      </c>
      <c r="J110" s="110">
        <f t="shared" si="26"/>
        <v>144.44</v>
      </c>
      <c r="K110" s="110">
        <f t="shared" si="26"/>
        <v>154.63999999999999</v>
      </c>
      <c r="L110" s="110">
        <f t="shared" si="26"/>
        <v>155.34000000000003</v>
      </c>
      <c r="M110" s="110">
        <f t="shared" si="26"/>
        <v>201.04000000000005</v>
      </c>
      <c r="N110" s="110">
        <f t="shared" si="26"/>
        <v>194.34000000000003</v>
      </c>
      <c r="O110" s="110">
        <f t="shared" si="26"/>
        <v>186.23999999999998</v>
      </c>
      <c r="P110" s="110">
        <v>42</v>
      </c>
      <c r="Q110" s="110">
        <f t="shared" ref="Q110:AC110" si="27">SUM(Q20,Q26,Q29:Q30,Q58,Q60:Q61,Q63,Q65,Q111:Q115,Q138,Q144,Q150,Q159,Q161,Q173,Q180,Q183:Q184,Q191,Q193,Q195,Q199:Q201,Q203:Q205,Q210,Q216:Q217,Q219:Q221,Q229,Q234)</f>
        <v>166.7</v>
      </c>
      <c r="R110" s="110">
        <f t="shared" si="27"/>
        <v>157.60000000000002</v>
      </c>
      <c r="S110" s="110">
        <f t="shared" si="27"/>
        <v>134.1</v>
      </c>
      <c r="T110" s="110">
        <f t="shared" si="27"/>
        <v>138.1</v>
      </c>
      <c r="U110" s="110">
        <f t="shared" si="27"/>
        <v>148.39999999999998</v>
      </c>
      <c r="V110" s="110">
        <f t="shared" si="27"/>
        <v>158</v>
      </c>
      <c r="W110" s="110">
        <f t="shared" si="27"/>
        <v>166.79999999999998</v>
      </c>
      <c r="X110" s="110">
        <f t="shared" si="27"/>
        <v>231.40000000000003</v>
      </c>
      <c r="Y110" s="110">
        <f t="shared" si="27"/>
        <v>219.5</v>
      </c>
      <c r="Z110" s="110">
        <f t="shared" si="27"/>
        <v>209.59999999999997</v>
      </c>
      <c r="AA110" s="110">
        <f t="shared" si="27"/>
        <v>181.19999999999996</v>
      </c>
      <c r="AB110" s="110">
        <f t="shared" si="27"/>
        <v>163.80000000000001</v>
      </c>
      <c r="AC110" s="110">
        <f t="shared" si="27"/>
        <v>154.5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89.499999999999986</v>
      </c>
      <c r="AF110" s="110">
        <f>SUM(AF20,AF26,AF29:AF30,AF58,AF60:AF61,AF63,AF65,AF111:AF115,AF138,AF144,AF150,AF159,AF161,AF173,AF180,AF183:AF184,AF191,AF193,AF195,AF199:AF201,AF203:AF205,AF210,AF216:AF217,AF219:AF221,AF229,AF234)</f>
        <v>64.000000000000028</v>
      </c>
      <c r="AG110" s="111"/>
      <c r="AH110" s="47">
        <f t="shared" si="12"/>
        <v>231.40000000000003</v>
      </c>
      <c r="AI110" s="48">
        <f t="shared" si="13"/>
        <v>0.94</v>
      </c>
    </row>
    <row r="111" spans="1:37" x14ac:dyDescent="0.25">
      <c r="A111" s="99" t="s">
        <v>119</v>
      </c>
      <c r="B111" s="112">
        <v>26</v>
      </c>
      <c r="C111" s="112"/>
      <c r="D111" s="112">
        <v>2</v>
      </c>
      <c r="E111" s="112">
        <v>4.2</v>
      </c>
      <c r="F111" s="112">
        <v>32</v>
      </c>
      <c r="G111" s="112">
        <v>33</v>
      </c>
      <c r="H111" s="112">
        <v>38</v>
      </c>
      <c r="I111" s="112">
        <v>39.700000000000003</v>
      </c>
      <c r="J111" s="112">
        <v>45.3</v>
      </c>
      <c r="K111" s="112">
        <v>45.9</v>
      </c>
      <c r="L111" s="112">
        <v>45.9</v>
      </c>
      <c r="M111" s="112">
        <v>49.7</v>
      </c>
      <c r="N111" s="112">
        <v>37.700000000000003</v>
      </c>
      <c r="O111" s="112">
        <v>34.200000000000003</v>
      </c>
      <c r="P111" s="112">
        <v>37.799999999999997</v>
      </c>
      <c r="Q111" s="112">
        <v>44.3</v>
      </c>
      <c r="R111" s="112">
        <v>41.7</v>
      </c>
      <c r="S111" s="112">
        <v>36</v>
      </c>
      <c r="T111" s="112">
        <v>42</v>
      </c>
      <c r="U111" s="112">
        <v>58.1</v>
      </c>
      <c r="V111" s="112">
        <v>63.1</v>
      </c>
      <c r="W111" s="112">
        <v>60.5</v>
      </c>
      <c r="X111" s="112">
        <v>70.8</v>
      </c>
      <c r="Y111" s="112">
        <v>65.400000000000006</v>
      </c>
      <c r="Z111" s="112">
        <v>59.5</v>
      </c>
      <c r="AA111" s="112">
        <v>60.1</v>
      </c>
      <c r="AB111" s="112">
        <v>62.7</v>
      </c>
      <c r="AC111" s="112">
        <v>66</v>
      </c>
      <c r="AD111" s="112">
        <v>70.3</v>
      </c>
      <c r="AE111" s="112">
        <v>37.1</v>
      </c>
      <c r="AF111" s="112">
        <v>24.8</v>
      </c>
      <c r="AG111" s="113">
        <v>75</v>
      </c>
      <c r="AH111" s="47">
        <f t="shared" si="12"/>
        <v>70.8</v>
      </c>
      <c r="AI111" s="48">
        <f t="shared" si="13"/>
        <v>2</v>
      </c>
    </row>
    <row r="112" spans="1:37" x14ac:dyDescent="0.25">
      <c r="A112" s="102" t="s">
        <v>120</v>
      </c>
      <c r="B112" s="114">
        <v>42</v>
      </c>
      <c r="C112" s="114"/>
      <c r="D112" s="114">
        <v>3.4</v>
      </c>
      <c r="E112" s="114">
        <v>6</v>
      </c>
      <c r="F112" s="114">
        <v>52.6</v>
      </c>
      <c r="G112" s="114">
        <v>51.1</v>
      </c>
      <c r="H112" s="114">
        <v>51.1</v>
      </c>
      <c r="I112" s="114">
        <v>60.4</v>
      </c>
      <c r="J112" s="114">
        <v>69.3</v>
      </c>
      <c r="K112" s="114">
        <v>69.599999999999994</v>
      </c>
      <c r="L112" s="114">
        <v>69.599999999999994</v>
      </c>
      <c r="M112" s="114">
        <v>74.099999999999994</v>
      </c>
      <c r="N112" s="114">
        <v>49.3</v>
      </c>
      <c r="O112" s="114">
        <v>44.6</v>
      </c>
      <c r="P112" s="114">
        <v>52.5</v>
      </c>
      <c r="Q112" s="114">
        <v>62.4</v>
      </c>
      <c r="R112" s="114">
        <v>59.8</v>
      </c>
      <c r="S112" s="114">
        <v>52.5</v>
      </c>
      <c r="T112" s="114">
        <v>62</v>
      </c>
      <c r="U112" s="114">
        <v>79.900000000000006</v>
      </c>
      <c r="V112" s="114">
        <v>89.3</v>
      </c>
      <c r="W112" s="114">
        <v>85.6</v>
      </c>
      <c r="X112" s="114">
        <v>99.9</v>
      </c>
      <c r="Y112" s="114">
        <v>90.1</v>
      </c>
      <c r="Z112" s="114">
        <v>85.8</v>
      </c>
      <c r="AA112" s="114">
        <v>75.099999999999994</v>
      </c>
      <c r="AB112" s="114">
        <v>91.7</v>
      </c>
      <c r="AC112" s="114">
        <v>97.9</v>
      </c>
      <c r="AD112" s="114">
        <v>101.2</v>
      </c>
      <c r="AE112" s="114">
        <v>51.4</v>
      </c>
      <c r="AF112" s="114">
        <v>35</v>
      </c>
      <c r="AG112" s="113">
        <v>240</v>
      </c>
      <c r="AH112" s="47">
        <f t="shared" si="12"/>
        <v>101.2</v>
      </c>
      <c r="AI112" s="48">
        <f t="shared" si="13"/>
        <v>3.4</v>
      </c>
    </row>
    <row r="113" spans="1:37" x14ac:dyDescent="0.25">
      <c r="A113" s="102" t="s">
        <v>121</v>
      </c>
      <c r="B113" s="114">
        <v>-160</v>
      </c>
      <c r="C113" s="114"/>
      <c r="D113" s="114">
        <v>-83</v>
      </c>
      <c r="E113" s="114">
        <v>-86.7</v>
      </c>
      <c r="F113" s="114">
        <v>-155</v>
      </c>
      <c r="G113" s="114">
        <v>-165</v>
      </c>
      <c r="H113" s="114">
        <v>-165</v>
      </c>
      <c r="I113" s="114">
        <v>-156</v>
      </c>
      <c r="J113" s="114">
        <v>-141</v>
      </c>
      <c r="K113" s="114">
        <v>-138</v>
      </c>
      <c r="L113" s="114">
        <v>-138</v>
      </c>
      <c r="M113" s="114">
        <f>-45-48</f>
        <v>-93</v>
      </c>
      <c r="N113" s="114">
        <f>-22-30</f>
        <v>-52</v>
      </c>
      <c r="O113" s="114">
        <f>-24-31</f>
        <v>-55</v>
      </c>
      <c r="P113" s="114">
        <f>-39-46</f>
        <v>-85</v>
      </c>
      <c r="Q113" s="114">
        <f>-24-29</f>
        <v>-53</v>
      </c>
      <c r="R113" s="114">
        <f>-28.1-31.4</f>
        <v>-59.5</v>
      </c>
      <c r="S113" s="114">
        <v>-65</v>
      </c>
      <c r="T113" s="114">
        <v>-75.8</v>
      </c>
      <c r="U113" s="114">
        <v>-116.3</v>
      </c>
      <c r="V113" s="114">
        <v>-121.5</v>
      </c>
      <c r="W113" s="114">
        <v>-105.6</v>
      </c>
      <c r="X113" s="114">
        <v>-107</v>
      </c>
      <c r="Y113" s="114">
        <v>-112.5</v>
      </c>
      <c r="Z113" s="114">
        <v>-125.6</v>
      </c>
      <c r="AA113" s="114">
        <v>-134.5</v>
      </c>
      <c r="AB113" s="114">
        <f>-76.1-70</f>
        <v>-146.1</v>
      </c>
      <c r="AC113" s="114">
        <v>-160</v>
      </c>
      <c r="AD113" s="114">
        <v>-170</v>
      </c>
      <c r="AE113" s="114">
        <v>-126.5</v>
      </c>
      <c r="AF113" s="114">
        <v>-121</v>
      </c>
      <c r="AG113" s="113">
        <v>240</v>
      </c>
      <c r="AH113" s="47">
        <f t="shared" si="12"/>
        <v>-52</v>
      </c>
      <c r="AI113" s="48">
        <f t="shared" si="13"/>
        <v>-170</v>
      </c>
    </row>
    <row r="114" spans="1:37" x14ac:dyDescent="0.25">
      <c r="A114" s="102" t="s">
        <v>122</v>
      </c>
      <c r="B114" s="114">
        <v>-9.1999999999999993</v>
      </c>
      <c r="C114" s="114"/>
      <c r="D114" s="114">
        <v>-13</v>
      </c>
      <c r="E114" s="114">
        <v>-15.9</v>
      </c>
      <c r="F114" s="114">
        <v>-13.5</v>
      </c>
      <c r="G114" s="114">
        <v>-14.2</v>
      </c>
      <c r="H114" s="114">
        <v>-14.2</v>
      </c>
      <c r="I114" s="114">
        <v>-12.7</v>
      </c>
      <c r="J114" s="114">
        <v>-5.2</v>
      </c>
      <c r="K114" s="114">
        <v>-4.7</v>
      </c>
      <c r="L114" s="114">
        <v>-4.7</v>
      </c>
      <c r="M114" s="114">
        <v>-3.1</v>
      </c>
      <c r="N114" s="114">
        <v>21</v>
      </c>
      <c r="O114" s="114">
        <v>20.8</v>
      </c>
      <c r="P114" s="114">
        <v>12</v>
      </c>
      <c r="Q114" s="114">
        <v>-4.4000000000000004</v>
      </c>
      <c r="R114" s="114">
        <v>-2</v>
      </c>
      <c r="S114" s="114">
        <v>-1.3</v>
      </c>
      <c r="T114" s="114">
        <v>-2.9</v>
      </c>
      <c r="U114" s="114">
        <v>-5.3</v>
      </c>
      <c r="V114" s="114">
        <v>-4</v>
      </c>
      <c r="W114" s="114">
        <v>-4.8</v>
      </c>
      <c r="X114" s="114">
        <v>12.7</v>
      </c>
      <c r="Y114" s="114">
        <v>21.5</v>
      </c>
      <c r="Z114" s="114">
        <v>34.799999999999997</v>
      </c>
      <c r="AA114" s="114">
        <v>25.4</v>
      </c>
      <c r="AB114" s="114">
        <v>0.4</v>
      </c>
      <c r="AC114" s="114">
        <v>-4.5</v>
      </c>
      <c r="AD114" s="114">
        <v>-14.6</v>
      </c>
      <c r="AE114" s="114">
        <v>-7.7</v>
      </c>
      <c r="AF114" s="114">
        <v>-9.6</v>
      </c>
      <c r="AG114" s="113">
        <v>60</v>
      </c>
      <c r="AH114" s="47">
        <f t="shared" si="12"/>
        <v>34.799999999999997</v>
      </c>
      <c r="AI114" s="48">
        <f t="shared" si="13"/>
        <v>-15.9</v>
      </c>
    </row>
    <row r="115" spans="1:37" x14ac:dyDescent="0.25">
      <c r="A115" s="115" t="s">
        <v>123</v>
      </c>
      <c r="B115" s="116">
        <v>0</v>
      </c>
      <c r="C115" s="116"/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2"/>
        <v>0</v>
      </c>
      <c r="AI115" s="48">
        <f t="shared" si="13"/>
        <v>0</v>
      </c>
    </row>
    <row r="116" spans="1:37" x14ac:dyDescent="0.25">
      <c r="A116" s="115" t="s">
        <v>124</v>
      </c>
      <c r="B116" s="116">
        <v>44.3</v>
      </c>
      <c r="C116" s="116"/>
      <c r="D116" s="116">
        <v>78.7</v>
      </c>
      <c r="E116" s="116">
        <v>64.2</v>
      </c>
      <c r="F116" s="116">
        <v>7.7</v>
      </c>
      <c r="G116" s="116">
        <v>20.399999999999999</v>
      </c>
      <c r="H116" s="116">
        <v>20.399999999999999</v>
      </c>
      <c r="I116" s="116">
        <v>-11.5</v>
      </c>
      <c r="J116" s="116">
        <v>-4.0999999999999996</v>
      </c>
      <c r="K116" s="116">
        <v>-9.8000000000000007</v>
      </c>
      <c r="L116" s="116">
        <v>-9.8000000000000007</v>
      </c>
      <c r="M116" s="116">
        <v>39.5</v>
      </c>
      <c r="N116" s="116">
        <v>70.599999999999994</v>
      </c>
      <c r="O116" s="116">
        <v>53.8</v>
      </c>
      <c r="P116" s="116">
        <v>43.1</v>
      </c>
      <c r="Q116" s="116">
        <v>45.2</v>
      </c>
      <c r="R116" s="116">
        <v>36</v>
      </c>
      <c r="S116" s="116">
        <v>3.1</v>
      </c>
      <c r="T116" s="116">
        <v>-12.5</v>
      </c>
      <c r="U116" s="116">
        <v>21.7</v>
      </c>
      <c r="V116" s="116">
        <v>40.200000000000003</v>
      </c>
      <c r="W116" s="116">
        <v>72.8</v>
      </c>
      <c r="X116" s="116">
        <v>70</v>
      </c>
      <c r="Y116" s="116">
        <v>87.9</v>
      </c>
      <c r="Z116" s="116">
        <v>51.3</v>
      </c>
      <c r="AA116" s="116">
        <v>42.3</v>
      </c>
      <c r="AB116" s="116">
        <v>65.400000000000006</v>
      </c>
      <c r="AC116" s="116">
        <v>60</v>
      </c>
      <c r="AD116" s="116">
        <v>40.5</v>
      </c>
      <c r="AE116" s="116">
        <v>-5.6</v>
      </c>
      <c r="AF116" s="116">
        <v>22.3</v>
      </c>
      <c r="AG116" s="117"/>
      <c r="AH116" s="47">
        <f t="shared" si="12"/>
        <v>87.9</v>
      </c>
      <c r="AI116" s="48">
        <f t="shared" si="13"/>
        <v>-12.5</v>
      </c>
    </row>
    <row r="117" spans="1:37" x14ac:dyDescent="0.25">
      <c r="A117" s="115" t="s">
        <v>125</v>
      </c>
      <c r="B117" s="116">
        <v>-4.8</v>
      </c>
      <c r="C117" s="116"/>
      <c r="D117" s="116">
        <v>14.3</v>
      </c>
      <c r="E117" s="116">
        <v>11.6</v>
      </c>
      <c r="F117" s="116">
        <v>-5.5</v>
      </c>
      <c r="G117" s="116">
        <v>-3.4</v>
      </c>
      <c r="H117" s="116">
        <v>-3.4</v>
      </c>
      <c r="I117" s="116">
        <v>-18.7</v>
      </c>
      <c r="J117" s="116">
        <v>-21.8</v>
      </c>
      <c r="K117" s="116">
        <v>-21.3</v>
      </c>
      <c r="L117" s="116">
        <v>-21.3</v>
      </c>
      <c r="M117" s="116">
        <v>-31.6</v>
      </c>
      <c r="N117" s="116">
        <v>-44.7</v>
      </c>
      <c r="O117" s="116">
        <v>-41.8</v>
      </c>
      <c r="P117" s="116">
        <v>-32.200000000000003</v>
      </c>
      <c r="Q117" s="116">
        <v>-36.5</v>
      </c>
      <c r="R117" s="116">
        <v>-29.4</v>
      </c>
      <c r="S117" s="116">
        <v>-22.3</v>
      </c>
      <c r="T117" s="116">
        <v>-23.3</v>
      </c>
      <c r="U117" s="116">
        <v>6.1</v>
      </c>
      <c r="V117" s="116">
        <v>11.3</v>
      </c>
      <c r="W117" s="116">
        <v>14.4</v>
      </c>
      <c r="X117" s="116">
        <v>6.2</v>
      </c>
      <c r="Y117" s="116">
        <v>10.9</v>
      </c>
      <c r="Z117" s="116">
        <v>13.1</v>
      </c>
      <c r="AA117" s="116">
        <v>15.3</v>
      </c>
      <c r="AB117" s="116">
        <v>27.8</v>
      </c>
      <c r="AC117" s="116">
        <v>15</v>
      </c>
      <c r="AD117" s="116">
        <v>11.2</v>
      </c>
      <c r="AE117" s="116">
        <v>-11.7</v>
      </c>
      <c r="AF117" s="116">
        <v>-13.5</v>
      </c>
      <c r="AG117" s="118"/>
      <c r="AH117" s="47">
        <f t="shared" si="12"/>
        <v>27.8</v>
      </c>
      <c r="AI117" s="48">
        <f t="shared" si="13"/>
        <v>-44.7</v>
      </c>
    </row>
    <row r="118" spans="1:37" x14ac:dyDescent="0.25">
      <c r="A118" s="119" t="s">
        <v>126</v>
      </c>
      <c r="B118" s="105">
        <v>32.6</v>
      </c>
      <c r="C118" s="105"/>
      <c r="D118" s="105">
        <v>40.200000000000003</v>
      </c>
      <c r="E118" s="105">
        <v>42</v>
      </c>
      <c r="F118" s="105">
        <v>45.4</v>
      </c>
      <c r="G118" s="105">
        <v>48.2</v>
      </c>
      <c r="H118" s="105">
        <v>48.2</v>
      </c>
      <c r="I118" s="105">
        <v>46.7</v>
      </c>
      <c r="J118" s="105">
        <v>25.8</v>
      </c>
      <c r="K118" s="105">
        <v>25</v>
      </c>
      <c r="L118" s="105">
        <v>25</v>
      </c>
      <c r="M118" s="105">
        <v>65.099999999999994</v>
      </c>
      <c r="N118" s="105">
        <v>92.4</v>
      </c>
      <c r="O118" s="105">
        <v>85.6</v>
      </c>
      <c r="P118" s="105">
        <v>66.5</v>
      </c>
      <c r="Q118" s="105">
        <v>65.3</v>
      </c>
      <c r="R118" s="105">
        <v>66.099999999999994</v>
      </c>
      <c r="S118" s="105">
        <v>66.900000000000006</v>
      </c>
      <c r="T118" s="105">
        <v>65.5</v>
      </c>
      <c r="U118" s="105">
        <v>68.7</v>
      </c>
      <c r="V118" s="105">
        <v>66.8</v>
      </c>
      <c r="W118" s="105">
        <v>61.3</v>
      </c>
      <c r="X118" s="105">
        <v>52.1</v>
      </c>
      <c r="Y118" s="105">
        <v>52.8</v>
      </c>
      <c r="Z118" s="105">
        <v>53.8</v>
      </c>
      <c r="AA118" s="105">
        <v>53.8</v>
      </c>
      <c r="AB118" s="105">
        <v>57.1</v>
      </c>
      <c r="AC118" s="105">
        <v>60</v>
      </c>
      <c r="AD118" s="105">
        <v>62</v>
      </c>
      <c r="AE118" s="105">
        <v>68.099999999999994</v>
      </c>
      <c r="AF118" s="105">
        <v>68.2</v>
      </c>
      <c r="AG118" s="118"/>
      <c r="AH118" s="47">
        <f t="shared" si="12"/>
        <v>92.4</v>
      </c>
      <c r="AI118" s="48">
        <f t="shared" si="13"/>
        <v>25</v>
      </c>
    </row>
    <row r="119" spans="1:37" x14ac:dyDescent="0.25">
      <c r="A119" s="120" t="s">
        <v>127</v>
      </c>
      <c r="B119" s="105">
        <v>83.4</v>
      </c>
      <c r="C119" s="105"/>
      <c r="D119" s="105">
        <v>32.700000000000003</v>
      </c>
      <c r="E119" s="105">
        <v>37.1</v>
      </c>
      <c r="F119" s="105">
        <v>78.599999999999994</v>
      </c>
      <c r="G119" s="105">
        <v>83.3</v>
      </c>
      <c r="H119" s="105">
        <v>83.3</v>
      </c>
      <c r="I119" s="105">
        <v>91.9</v>
      </c>
      <c r="J119" s="105">
        <v>91.3</v>
      </c>
      <c r="K119" s="105">
        <v>90</v>
      </c>
      <c r="L119" s="105">
        <v>90</v>
      </c>
      <c r="M119" s="105">
        <v>68.099999999999994</v>
      </c>
      <c r="N119" s="105">
        <v>60.4</v>
      </c>
      <c r="O119" s="105">
        <v>62.8</v>
      </c>
      <c r="P119" s="105">
        <v>64.7</v>
      </c>
      <c r="Q119" s="105">
        <v>48.7</v>
      </c>
      <c r="R119" s="105">
        <v>42.6</v>
      </c>
      <c r="S119" s="105">
        <v>48.3</v>
      </c>
      <c r="T119" s="105">
        <v>62.3</v>
      </c>
      <c r="U119" s="105">
        <v>44.2</v>
      </c>
      <c r="V119" s="105">
        <v>48.7</v>
      </c>
      <c r="W119" s="105">
        <v>41.8</v>
      </c>
      <c r="X119" s="105">
        <v>45.3</v>
      </c>
      <c r="Y119" s="105">
        <v>42.2</v>
      </c>
      <c r="Z119" s="105">
        <v>58.3</v>
      </c>
      <c r="AA119" s="105">
        <v>60.1</v>
      </c>
      <c r="AB119" s="105">
        <v>56.8</v>
      </c>
      <c r="AC119" s="105">
        <v>61.5</v>
      </c>
      <c r="AD119" s="105">
        <v>67.599999999999994</v>
      </c>
      <c r="AE119" s="105">
        <v>85.5</v>
      </c>
      <c r="AF119" s="105">
        <v>75.599999999999994</v>
      </c>
      <c r="AG119" s="118"/>
      <c r="AH119" s="47">
        <f t="shared" si="12"/>
        <v>91.9</v>
      </c>
      <c r="AI119" s="48">
        <f t="shared" si="13"/>
        <v>32.700000000000003</v>
      </c>
    </row>
    <row r="120" spans="1:37" ht="15.75" thickBot="1" x14ac:dyDescent="0.3">
      <c r="A120" s="119" t="s">
        <v>128</v>
      </c>
      <c r="B120" s="105">
        <v>38</v>
      </c>
      <c r="C120" s="105"/>
      <c r="D120" s="105">
        <v>26.6</v>
      </c>
      <c r="E120" s="105">
        <v>28.7</v>
      </c>
      <c r="F120" s="105">
        <v>17</v>
      </c>
      <c r="G120" s="105">
        <v>18.3</v>
      </c>
      <c r="H120" s="105">
        <v>18.3</v>
      </c>
      <c r="I120" s="105">
        <v>4.5</v>
      </c>
      <c r="J120" s="105">
        <v>12.7</v>
      </c>
      <c r="K120" s="105">
        <v>16.2</v>
      </c>
      <c r="L120" s="105">
        <v>16.2</v>
      </c>
      <c r="M120" s="105">
        <v>-17.899999999999999</v>
      </c>
      <c r="N120" s="105">
        <v>-48</v>
      </c>
      <c r="O120" s="105">
        <v>-50</v>
      </c>
      <c r="P120" s="105">
        <v>-55.1</v>
      </c>
      <c r="Q120" s="105">
        <v>-55.3</v>
      </c>
      <c r="R120" s="105">
        <v>-40.6</v>
      </c>
      <c r="S120" s="105">
        <v>-42</v>
      </c>
      <c r="T120" s="105">
        <v>-42.1</v>
      </c>
      <c r="U120" s="105">
        <v>-25.1</v>
      </c>
      <c r="V120" s="105">
        <v>-38.1</v>
      </c>
      <c r="W120" s="105">
        <v>-27.9</v>
      </c>
      <c r="X120" s="105">
        <v>-16.399999999999999</v>
      </c>
      <c r="Y120" s="105">
        <v>-18</v>
      </c>
      <c r="Z120" s="105">
        <v>-13.6</v>
      </c>
      <c r="AA120" s="105">
        <v>46.8</v>
      </c>
      <c r="AB120" s="105">
        <v>-4.5999999999999996</v>
      </c>
      <c r="AC120" s="105">
        <v>-8.1999999999999993</v>
      </c>
      <c r="AD120" s="105">
        <v>-9.3000000000000007</v>
      </c>
      <c r="AE120" s="105">
        <v>-16.100000000000001</v>
      </c>
      <c r="AF120" s="105">
        <v>-19.600000000000001</v>
      </c>
      <c r="AG120" s="118"/>
      <c r="AH120" s="47">
        <f t="shared" si="12"/>
        <v>46.8</v>
      </c>
      <c r="AI120" s="48">
        <f t="shared" si="13"/>
        <v>-55.3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8">SUM(B122:B226)</f>
        <v>0</v>
      </c>
      <c r="C227" s="136">
        <f t="shared" si="28"/>
        <v>0</v>
      </c>
      <c r="D227" s="136">
        <f t="shared" si="28"/>
        <v>0</v>
      </c>
      <c r="E227" s="136">
        <f t="shared" si="28"/>
        <v>0</v>
      </c>
      <c r="F227" s="136">
        <f t="shared" si="28"/>
        <v>0</v>
      </c>
      <c r="G227" s="136">
        <f t="shared" si="28"/>
        <v>0</v>
      </c>
      <c r="H227" s="136">
        <f t="shared" si="28"/>
        <v>0</v>
      </c>
      <c r="I227" s="136">
        <f t="shared" si="28"/>
        <v>0</v>
      </c>
      <c r="J227" s="136">
        <f t="shared" si="28"/>
        <v>0</v>
      </c>
      <c r="K227" s="136">
        <f t="shared" si="28"/>
        <v>0</v>
      </c>
      <c r="L227" s="136">
        <f t="shared" si="28"/>
        <v>0</v>
      </c>
      <c r="M227" s="136">
        <f t="shared" si="28"/>
        <v>0</v>
      </c>
      <c r="N227" s="136">
        <f t="shared" si="28"/>
        <v>0</v>
      </c>
      <c r="O227" s="136">
        <f t="shared" si="28"/>
        <v>0</v>
      </c>
      <c r="P227" s="136">
        <f t="shared" si="28"/>
        <v>0</v>
      </c>
      <c r="Q227" s="136">
        <f t="shared" si="28"/>
        <v>0</v>
      </c>
      <c r="R227" s="136">
        <f t="shared" si="28"/>
        <v>0</v>
      </c>
      <c r="S227" s="136">
        <f t="shared" si="28"/>
        <v>0</v>
      </c>
      <c r="T227" s="136">
        <f t="shared" si="28"/>
        <v>0</v>
      </c>
      <c r="U227" s="136">
        <f t="shared" si="28"/>
        <v>0</v>
      </c>
      <c r="V227" s="136">
        <f t="shared" si="28"/>
        <v>0</v>
      </c>
      <c r="W227" s="136">
        <f t="shared" si="28"/>
        <v>0</v>
      </c>
      <c r="X227" s="136">
        <f t="shared" si="28"/>
        <v>0</v>
      </c>
      <c r="Y227" s="136">
        <f t="shared" si="28"/>
        <v>0</v>
      </c>
      <c r="Z227" s="136">
        <f t="shared" si="28"/>
        <v>0</v>
      </c>
      <c r="AA227" s="136">
        <f t="shared" si="28"/>
        <v>0</v>
      </c>
      <c r="AB227" s="136">
        <f t="shared" si="28"/>
        <v>0</v>
      </c>
      <c r="AC227" s="136">
        <f t="shared" si="28"/>
        <v>0</v>
      </c>
      <c r="AD227" s="136">
        <f t="shared" si="28"/>
        <v>0</v>
      </c>
      <c r="AE227" s="136">
        <f t="shared" si="28"/>
        <v>0</v>
      </c>
      <c r="AF227" s="137">
        <f t="shared" si="28"/>
        <v>0</v>
      </c>
      <c r="AG227" s="138">
        <f t="shared" si="2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9">AF229</f>
        <v>0</v>
      </c>
      <c r="C229" s="140">
        <v>0.3</v>
      </c>
      <c r="D229" s="140">
        <f t="shared" ref="D229:P234" si="30">C229</f>
        <v>0.3</v>
      </c>
      <c r="E229" s="140">
        <f t="shared" si="30"/>
        <v>0.3</v>
      </c>
      <c r="F229" s="140">
        <f t="shared" si="30"/>
        <v>0.3</v>
      </c>
      <c r="G229" s="140">
        <f t="shared" si="30"/>
        <v>0.3</v>
      </c>
      <c r="H229" s="140">
        <f t="shared" si="30"/>
        <v>0.3</v>
      </c>
      <c r="I229" s="140">
        <f t="shared" si="30"/>
        <v>0.3</v>
      </c>
      <c r="J229" s="140">
        <f t="shared" si="30"/>
        <v>0.3</v>
      </c>
      <c r="K229" s="140">
        <f t="shared" si="30"/>
        <v>0.3</v>
      </c>
      <c r="L229" s="140">
        <f t="shared" si="30"/>
        <v>0.3</v>
      </c>
      <c r="M229" s="140">
        <f t="shared" si="30"/>
        <v>0.3</v>
      </c>
      <c r="N229" s="140">
        <f t="shared" si="30"/>
        <v>0.3</v>
      </c>
      <c r="O229" s="140">
        <f t="shared" si="30"/>
        <v>0.3</v>
      </c>
      <c r="P229" s="140">
        <f t="shared" si="3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9"/>
        <v>0</v>
      </c>
      <c r="C230" s="128">
        <v>0.4</v>
      </c>
      <c r="D230" s="128">
        <f t="shared" si="30"/>
        <v>0.4</v>
      </c>
      <c r="E230" s="128">
        <f t="shared" si="30"/>
        <v>0.4</v>
      </c>
      <c r="F230" s="128">
        <f t="shared" si="30"/>
        <v>0.4</v>
      </c>
      <c r="G230" s="128">
        <f t="shared" si="30"/>
        <v>0.4</v>
      </c>
      <c r="H230" s="128">
        <f t="shared" si="30"/>
        <v>0.4</v>
      </c>
      <c r="I230" s="128">
        <f t="shared" si="30"/>
        <v>0.4</v>
      </c>
      <c r="J230" s="128">
        <f t="shared" si="30"/>
        <v>0.4</v>
      </c>
      <c r="K230" s="128">
        <f t="shared" si="30"/>
        <v>0.4</v>
      </c>
      <c r="L230" s="128">
        <f t="shared" si="30"/>
        <v>0.4</v>
      </c>
      <c r="M230" s="128">
        <f t="shared" si="30"/>
        <v>0.4</v>
      </c>
      <c r="N230" s="128">
        <f t="shared" si="30"/>
        <v>0.4</v>
      </c>
      <c r="O230" s="128">
        <f t="shared" si="30"/>
        <v>0.4</v>
      </c>
      <c r="P230" s="128">
        <f t="shared" si="3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9"/>
        <v>0</v>
      </c>
      <c r="C231" s="128">
        <v>1.5</v>
      </c>
      <c r="D231" s="128">
        <f t="shared" si="30"/>
        <v>1.5</v>
      </c>
      <c r="E231" s="128">
        <f t="shared" si="30"/>
        <v>1.5</v>
      </c>
      <c r="F231" s="128">
        <f t="shared" si="30"/>
        <v>1.5</v>
      </c>
      <c r="G231" s="128">
        <f t="shared" si="30"/>
        <v>1.5</v>
      </c>
      <c r="H231" s="128">
        <f t="shared" si="3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0"/>
        <v>123.21900000000009</v>
      </c>
      <c r="K231" s="128">
        <f t="shared" ca="1" si="30"/>
        <v>123.21900000000009</v>
      </c>
      <c r="L231" s="128">
        <f t="shared" ca="1" si="30"/>
        <v>123.21900000000009</v>
      </c>
      <c r="M231" s="128">
        <f t="shared" ca="1" si="30"/>
        <v>119.19900000000008</v>
      </c>
      <c r="N231" s="128">
        <f t="shared" ca="1" si="30"/>
        <v>119.19900000000008</v>
      </c>
      <c r="O231" s="128">
        <f t="shared" ca="1" si="30"/>
        <v>119.19900000000008</v>
      </c>
      <c r="P231" s="128">
        <f t="shared" ca="1" si="3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9"/>
        <v>0</v>
      </c>
      <c r="C232" s="128">
        <v>0.3</v>
      </c>
      <c r="D232" s="128">
        <f t="shared" si="30"/>
        <v>0.3</v>
      </c>
      <c r="E232" s="128">
        <f t="shared" si="30"/>
        <v>0.3</v>
      </c>
      <c r="F232" s="128">
        <f t="shared" si="30"/>
        <v>0.3</v>
      </c>
      <c r="G232" s="128">
        <f t="shared" si="30"/>
        <v>0.3</v>
      </c>
      <c r="H232" s="128">
        <f t="shared" si="30"/>
        <v>0.3</v>
      </c>
      <c r="I232" s="128">
        <f t="shared" si="30"/>
        <v>0.3</v>
      </c>
      <c r="J232" s="128">
        <f t="shared" si="30"/>
        <v>0.3</v>
      </c>
      <c r="K232" s="128">
        <f t="shared" si="30"/>
        <v>0.3</v>
      </c>
      <c r="L232" s="128">
        <f t="shared" si="30"/>
        <v>0.3</v>
      </c>
      <c r="M232" s="128">
        <f t="shared" si="30"/>
        <v>0.3</v>
      </c>
      <c r="N232" s="128">
        <f t="shared" si="30"/>
        <v>0.3</v>
      </c>
      <c r="O232" s="128">
        <f t="shared" si="30"/>
        <v>0.3</v>
      </c>
      <c r="P232" s="128">
        <f t="shared" si="3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9"/>
        <v>0</v>
      </c>
      <c r="C233" s="128">
        <v>0.4</v>
      </c>
      <c r="D233" s="128">
        <f t="shared" si="30"/>
        <v>0.4</v>
      </c>
      <c r="E233" s="128">
        <f t="shared" si="30"/>
        <v>0.4</v>
      </c>
      <c r="F233" s="128">
        <f t="shared" si="30"/>
        <v>0.4</v>
      </c>
      <c r="G233" s="128">
        <f t="shared" si="30"/>
        <v>0.4</v>
      </c>
      <c r="H233" s="128">
        <f t="shared" si="30"/>
        <v>0.4</v>
      </c>
      <c r="I233" s="128">
        <f t="shared" si="30"/>
        <v>0.4</v>
      </c>
      <c r="J233" s="128">
        <f t="shared" si="30"/>
        <v>0.4</v>
      </c>
      <c r="K233" s="128">
        <f t="shared" si="30"/>
        <v>0.4</v>
      </c>
      <c r="L233" s="128">
        <f t="shared" si="30"/>
        <v>0.4</v>
      </c>
      <c r="M233" s="128">
        <f t="shared" si="30"/>
        <v>0.4</v>
      </c>
      <c r="N233" s="128">
        <f t="shared" si="30"/>
        <v>0.4</v>
      </c>
      <c r="O233" s="128">
        <f t="shared" si="30"/>
        <v>0.4</v>
      </c>
      <c r="P233" s="128">
        <f t="shared" si="3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9"/>
        <v>0</v>
      </c>
      <c r="C234" s="132">
        <v>0.64</v>
      </c>
      <c r="D234" s="132">
        <f t="shared" si="30"/>
        <v>0.64</v>
      </c>
      <c r="E234" s="132">
        <f t="shared" si="30"/>
        <v>0.64</v>
      </c>
      <c r="F234" s="132">
        <f t="shared" si="30"/>
        <v>0.64</v>
      </c>
      <c r="G234" s="132">
        <f t="shared" si="30"/>
        <v>0.64</v>
      </c>
      <c r="H234" s="132">
        <f t="shared" si="30"/>
        <v>0.64</v>
      </c>
      <c r="I234" s="132">
        <f t="shared" si="30"/>
        <v>0.64</v>
      </c>
      <c r="J234" s="132">
        <f t="shared" si="30"/>
        <v>0.64</v>
      </c>
      <c r="K234" s="132">
        <f t="shared" si="30"/>
        <v>0.64</v>
      </c>
      <c r="L234" s="132">
        <f t="shared" si="30"/>
        <v>0.64</v>
      </c>
      <c r="M234" s="132">
        <f t="shared" si="30"/>
        <v>0.64</v>
      </c>
      <c r="N234" s="132">
        <f t="shared" si="30"/>
        <v>0.64</v>
      </c>
      <c r="O234" s="132">
        <f t="shared" si="30"/>
        <v>0.64</v>
      </c>
      <c r="P234" s="132">
        <f t="shared" si="3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1">SUM(B229:B234)</f>
        <v>0</v>
      </c>
      <c r="C235" s="136">
        <f t="shared" si="31"/>
        <v>3.54</v>
      </c>
      <c r="D235" s="136">
        <f t="shared" si="31"/>
        <v>3.54</v>
      </c>
      <c r="E235" s="136">
        <f t="shared" si="31"/>
        <v>3.54</v>
      </c>
      <c r="F235" s="136">
        <f t="shared" si="31"/>
        <v>3.54</v>
      </c>
      <c r="G235" s="136">
        <f t="shared" si="31"/>
        <v>3.54</v>
      </c>
      <c r="H235" s="136">
        <f t="shared" si="31"/>
        <v>3.54</v>
      </c>
      <c r="I235" s="136">
        <f t="shared" ca="1" si="31"/>
        <v>121.23900000000009</v>
      </c>
      <c r="J235" s="136">
        <f t="shared" ca="1" si="31"/>
        <v>121.23900000000009</v>
      </c>
      <c r="K235" s="136">
        <f t="shared" ca="1" si="31"/>
        <v>121.23900000000009</v>
      </c>
      <c r="L235" s="136">
        <f t="shared" ca="1" si="31"/>
        <v>125.2590000000001</v>
      </c>
      <c r="M235" s="136">
        <f t="shared" ca="1" si="31"/>
        <v>121.23900000000009</v>
      </c>
      <c r="N235" s="136">
        <f t="shared" ca="1" si="31"/>
        <v>121.23900000000009</v>
      </c>
      <c r="O235" s="136">
        <f t="shared" ca="1" si="31"/>
        <v>121.23900000000009</v>
      </c>
      <c r="P235" s="136">
        <f t="shared" ca="1" si="31"/>
        <v>121.23900000000009</v>
      </c>
      <c r="Q235" s="136">
        <f t="shared" si="31"/>
        <v>0</v>
      </c>
      <c r="R235" s="136">
        <f t="shared" si="31"/>
        <v>0</v>
      </c>
      <c r="S235" s="136">
        <f t="shared" si="31"/>
        <v>0</v>
      </c>
      <c r="T235" s="136">
        <f t="shared" si="31"/>
        <v>0</v>
      </c>
      <c r="U235" s="136">
        <f t="shared" si="31"/>
        <v>0</v>
      </c>
      <c r="V235" s="136">
        <f t="shared" si="31"/>
        <v>0</v>
      </c>
      <c r="W235" s="136">
        <f t="shared" si="31"/>
        <v>0</v>
      </c>
      <c r="X235" s="136">
        <f t="shared" si="31"/>
        <v>0</v>
      </c>
      <c r="Y235" s="136">
        <f t="shared" si="31"/>
        <v>0</v>
      </c>
      <c r="Z235" s="136">
        <f t="shared" si="31"/>
        <v>0</v>
      </c>
      <c r="AA235" s="136">
        <f t="shared" si="31"/>
        <v>0</v>
      </c>
      <c r="AB235" s="136">
        <f t="shared" si="31"/>
        <v>0</v>
      </c>
      <c r="AC235" s="136">
        <f t="shared" si="31"/>
        <v>0</v>
      </c>
      <c r="AD235" s="136">
        <f t="shared" si="31"/>
        <v>0</v>
      </c>
      <c r="AE235" s="136">
        <f t="shared" si="31"/>
        <v>0</v>
      </c>
      <c r="AF235" s="136">
        <f t="shared" si="31"/>
        <v>0</v>
      </c>
      <c r="AG235" s="145">
        <f t="shared" si="3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2076.1400000000003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13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2080/05/13)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2080/05/13)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2">B91</f>
        <v>2152.3399999999997</v>
      </c>
      <c r="U249" s="170">
        <f t="shared" si="32"/>
        <v>103.54</v>
      </c>
      <c r="V249" s="170">
        <f t="shared" si="32"/>
        <v>1904.8400000000001</v>
      </c>
      <c r="W249" s="170">
        <f t="shared" si="32"/>
        <v>1900.14</v>
      </c>
      <c r="X249" s="170">
        <f t="shared" si="32"/>
        <v>1970.54</v>
      </c>
      <c r="Y249" s="170">
        <f t="shared" si="32"/>
        <v>2050.7400000000002</v>
      </c>
      <c r="Z249" s="170">
        <f t="shared" si="32"/>
        <v>2050.84</v>
      </c>
      <c r="AA249" s="170">
        <f t="shared" si="32"/>
        <v>2045.84</v>
      </c>
      <c r="AB249" s="170">
        <f t="shared" si="32"/>
        <v>2045.84</v>
      </c>
      <c r="AC249" s="170">
        <f t="shared" si="32"/>
        <v>2075.44</v>
      </c>
      <c r="AD249" s="170">
        <f t="shared" si="32"/>
        <v>2076.1400000000003</v>
      </c>
      <c r="AE249" s="170">
        <f t="shared" si="32"/>
        <v>2054.1400000000003</v>
      </c>
      <c r="AF249" s="170">
        <f t="shared" si="32"/>
        <v>2026.1399999999999</v>
      </c>
      <c r="AG249" s="170">
        <f t="shared" si="32"/>
        <v>2023.64</v>
      </c>
      <c r="AH249" s="170">
        <f t="shared" si="32"/>
        <v>2003.04</v>
      </c>
      <c r="AI249" s="170">
        <f t="shared" si="32"/>
        <v>1972.8399999999997</v>
      </c>
      <c r="AJ249" s="170">
        <f t="shared" si="32"/>
        <v>1956.0399999999997</v>
      </c>
      <c r="AK249" s="170">
        <f t="shared" si="32"/>
        <v>1984.7399999999998</v>
      </c>
      <c r="AL249" s="170">
        <f t="shared" si="32"/>
        <v>1986.8400000000001</v>
      </c>
      <c r="AM249" s="170">
        <f t="shared" si="32"/>
        <v>1880.94</v>
      </c>
      <c r="AN249" s="170">
        <f t="shared" si="32"/>
        <v>1882.44</v>
      </c>
      <c r="AO249" s="170">
        <f t="shared" si="32"/>
        <v>1902.44</v>
      </c>
      <c r="AP249" s="170">
        <f t="shared" si="32"/>
        <v>1985.24</v>
      </c>
      <c r="AQ249" s="170">
        <f t="shared" si="32"/>
        <v>2039.8399999999997</v>
      </c>
      <c r="AR249" s="170">
        <f t="shared" si="32"/>
        <v>2099.54</v>
      </c>
      <c r="AS249" s="170">
        <f t="shared" si="32"/>
        <v>2080.7399999999998</v>
      </c>
      <c r="AT249" s="170">
        <f t="shared" si="32"/>
        <v>2023.4399999999998</v>
      </c>
      <c r="AU249" s="170">
        <f t="shared" si="32"/>
        <v>2016.4399999999998</v>
      </c>
      <c r="AV249" s="170">
        <f t="shared" si="32"/>
        <v>1994.2400000000002</v>
      </c>
      <c r="AW249" s="170">
        <f t="shared" si="32"/>
        <v>2041.84</v>
      </c>
      <c r="AX249" s="170">
        <f t="shared" si="32"/>
        <v>2014.2399999999998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3">C234</f>
        <v>0.64</v>
      </c>
      <c r="C270" s="173">
        <f t="shared" si="33"/>
        <v>0.64</v>
      </c>
      <c r="D270" s="173">
        <f t="shared" si="33"/>
        <v>0.64</v>
      </c>
      <c r="E270" s="173">
        <f t="shared" si="33"/>
        <v>0.64</v>
      </c>
      <c r="F270" s="173">
        <f t="shared" si="33"/>
        <v>0.64</v>
      </c>
      <c r="G270" s="173">
        <f t="shared" si="33"/>
        <v>0.64</v>
      </c>
      <c r="H270" s="173">
        <f t="shared" si="33"/>
        <v>0.64</v>
      </c>
      <c r="I270" s="173">
        <f t="shared" si="33"/>
        <v>0.64</v>
      </c>
      <c r="J270" s="173">
        <f t="shared" si="33"/>
        <v>0.64</v>
      </c>
      <c r="K270" s="173">
        <f t="shared" si="33"/>
        <v>0.64</v>
      </c>
      <c r="L270" s="173">
        <f t="shared" si="33"/>
        <v>0.64</v>
      </c>
      <c r="M270" s="173">
        <f t="shared" si="33"/>
        <v>0.64</v>
      </c>
      <c r="N270" s="173">
        <f t="shared" si="33"/>
        <v>0.64</v>
      </c>
      <c r="O270" s="173">
        <f t="shared" si="33"/>
        <v>0.64</v>
      </c>
      <c r="P270" s="173">
        <f t="shared" si="33"/>
        <v>0</v>
      </c>
      <c r="Q270" s="173">
        <f t="shared" si="33"/>
        <v>0</v>
      </c>
      <c r="R270" s="173">
        <f t="shared" si="33"/>
        <v>0</v>
      </c>
      <c r="S270" s="173">
        <f t="shared" si="33"/>
        <v>0</v>
      </c>
      <c r="T270" s="173">
        <f t="shared" si="33"/>
        <v>0</v>
      </c>
      <c r="U270" s="173">
        <f t="shared" si="33"/>
        <v>0</v>
      </c>
      <c r="V270" s="173">
        <f t="shared" si="33"/>
        <v>0</v>
      </c>
      <c r="W270" s="173">
        <f t="shared" si="33"/>
        <v>0</v>
      </c>
      <c r="X270" s="173">
        <f t="shared" si="33"/>
        <v>0</v>
      </c>
      <c r="Y270" s="173">
        <f t="shared" si="33"/>
        <v>0</v>
      </c>
      <c r="Z270" s="173">
        <f t="shared" si="33"/>
        <v>0</v>
      </c>
      <c r="AA270" s="173">
        <f t="shared" si="33"/>
        <v>0</v>
      </c>
      <c r="AB270" s="173">
        <f t="shared" si="33"/>
        <v>0</v>
      </c>
      <c r="AC270" s="173">
        <f t="shared" si="33"/>
        <v>0</v>
      </c>
      <c r="AD270" s="173">
        <f t="shared" si="33"/>
        <v>0</v>
      </c>
      <c r="AE270" s="173">
        <f t="shared" si="3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4">IF(B238&lt;100,"",B238-520)</f>
        <v/>
      </c>
      <c r="C271" s="174" t="str">
        <f t="shared" si="34"/>
        <v/>
      </c>
      <c r="D271" s="174" t="str">
        <f t="shared" si="34"/>
        <v/>
      </c>
      <c r="E271" s="174" t="str">
        <f t="shared" si="34"/>
        <v/>
      </c>
      <c r="F271" s="174" t="str">
        <f t="shared" si="34"/>
        <v/>
      </c>
      <c r="G271" s="174" t="str">
        <f t="shared" si="34"/>
        <v/>
      </c>
      <c r="H271" s="174" t="str">
        <f t="shared" si="34"/>
        <v/>
      </c>
      <c r="I271" s="174" t="str">
        <f t="shared" si="34"/>
        <v/>
      </c>
      <c r="J271" s="174" t="str">
        <f t="shared" si="34"/>
        <v/>
      </c>
      <c r="K271" s="174" t="str">
        <f t="shared" si="34"/>
        <v/>
      </c>
      <c r="L271" s="174" t="str">
        <f t="shared" si="34"/>
        <v/>
      </c>
      <c r="M271" s="174" t="str">
        <f t="shared" si="34"/>
        <v/>
      </c>
      <c r="N271" s="174" t="str">
        <f t="shared" si="34"/>
        <v/>
      </c>
      <c r="O271" s="174" t="str">
        <f t="shared" si="34"/>
        <v/>
      </c>
      <c r="P271" s="174" t="str">
        <f t="shared" si="34"/>
        <v/>
      </c>
      <c r="Q271" s="174" t="str">
        <f t="shared" si="34"/>
        <v/>
      </c>
      <c r="R271" s="174" t="str">
        <f t="shared" si="34"/>
        <v/>
      </c>
      <c r="S271" s="174" t="str">
        <f t="shared" si="34"/>
        <v/>
      </c>
      <c r="T271" s="174" t="str">
        <f t="shared" si="34"/>
        <v/>
      </c>
      <c r="U271" s="174" t="str">
        <f t="shared" si="34"/>
        <v/>
      </c>
      <c r="V271" s="174" t="str">
        <f t="shared" si="34"/>
        <v/>
      </c>
      <c r="W271" s="174" t="str">
        <f t="shared" si="34"/>
        <v/>
      </c>
      <c r="X271" s="174" t="str">
        <f t="shared" si="34"/>
        <v/>
      </c>
      <c r="Y271" s="174" t="str">
        <f t="shared" si="34"/>
        <v/>
      </c>
      <c r="Z271" s="174" t="str">
        <f t="shared" si="34"/>
        <v/>
      </c>
      <c r="AA271" s="174" t="str">
        <f t="shared" si="34"/>
        <v/>
      </c>
      <c r="AB271" s="174" t="str">
        <f t="shared" si="34"/>
        <v/>
      </c>
      <c r="AC271" s="174" t="str">
        <f t="shared" si="34"/>
        <v/>
      </c>
      <c r="AD271" s="174" t="str">
        <f t="shared" si="34"/>
        <v/>
      </c>
      <c r="AE271" s="174" t="str">
        <f t="shared" si="34"/>
        <v/>
      </c>
      <c r="AF271" s="174" t="str">
        <f t="shared" si="3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5">IF(B239&lt;100,"",B239-620)</f>
        <v/>
      </c>
      <c r="C272" s="174" t="str">
        <f t="shared" si="35"/>
        <v/>
      </c>
      <c r="D272" s="174" t="str">
        <f t="shared" si="35"/>
        <v/>
      </c>
      <c r="E272" s="174" t="str">
        <f t="shared" si="35"/>
        <v/>
      </c>
      <c r="F272" s="174" t="str">
        <f t="shared" si="35"/>
        <v/>
      </c>
      <c r="G272" s="174" t="str">
        <f t="shared" si="35"/>
        <v/>
      </c>
      <c r="H272" s="174" t="str">
        <f t="shared" si="35"/>
        <v/>
      </c>
      <c r="I272" s="174" t="str">
        <f t="shared" si="35"/>
        <v/>
      </c>
      <c r="J272" s="174" t="str">
        <f t="shared" si="35"/>
        <v/>
      </c>
      <c r="K272" s="174" t="str">
        <f t="shared" si="35"/>
        <v/>
      </c>
      <c r="L272" s="174" t="str">
        <f t="shared" si="35"/>
        <v/>
      </c>
      <c r="M272" s="174" t="str">
        <f t="shared" si="35"/>
        <v/>
      </c>
      <c r="N272" s="174" t="str">
        <f t="shared" si="35"/>
        <v/>
      </c>
      <c r="O272" s="174" t="str">
        <f t="shared" si="35"/>
        <v/>
      </c>
      <c r="P272" s="174" t="str">
        <f t="shared" si="35"/>
        <v/>
      </c>
      <c r="Q272" s="174" t="str">
        <f t="shared" si="35"/>
        <v/>
      </c>
      <c r="R272" s="174" t="str">
        <f t="shared" si="35"/>
        <v/>
      </c>
      <c r="S272" s="174" t="str">
        <f t="shared" si="35"/>
        <v/>
      </c>
      <c r="T272" s="174" t="str">
        <f t="shared" si="35"/>
        <v/>
      </c>
      <c r="U272" s="174" t="str">
        <f t="shared" si="35"/>
        <v/>
      </c>
      <c r="V272" s="174" t="str">
        <f t="shared" si="35"/>
        <v/>
      </c>
      <c r="W272" s="174" t="str">
        <f t="shared" si="35"/>
        <v/>
      </c>
      <c r="X272" s="174" t="str">
        <f t="shared" si="35"/>
        <v/>
      </c>
      <c r="Y272" s="174" t="str">
        <f t="shared" si="35"/>
        <v/>
      </c>
      <c r="Z272" s="174" t="str">
        <f t="shared" si="35"/>
        <v/>
      </c>
      <c r="AA272" s="174" t="str">
        <f t="shared" si="35"/>
        <v/>
      </c>
      <c r="AB272" s="174" t="str">
        <f t="shared" si="35"/>
        <v/>
      </c>
      <c r="AC272" s="174" t="str">
        <f t="shared" si="35"/>
        <v/>
      </c>
      <c r="AD272" s="174" t="str">
        <f t="shared" si="35"/>
        <v/>
      </c>
      <c r="AE272" s="174" t="str">
        <f t="shared" si="35"/>
        <v/>
      </c>
      <c r="AF272" s="174" t="str">
        <f t="shared" si="3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6">IF(B240&lt;100,"",B240-330)</f>
        <v/>
      </c>
      <c r="C273" s="174" t="str">
        <f t="shared" si="36"/>
        <v/>
      </c>
      <c r="D273" s="174" t="str">
        <f t="shared" si="36"/>
        <v/>
      </c>
      <c r="E273" s="174" t="str">
        <f t="shared" si="36"/>
        <v/>
      </c>
      <c r="F273" s="174" t="str">
        <f t="shared" si="36"/>
        <v/>
      </c>
      <c r="G273" s="174" t="str">
        <f t="shared" si="36"/>
        <v/>
      </c>
      <c r="H273" s="174" t="str">
        <f t="shared" si="36"/>
        <v/>
      </c>
      <c r="I273" s="174" t="str">
        <f t="shared" si="36"/>
        <v/>
      </c>
      <c r="J273" s="174" t="str">
        <f t="shared" si="36"/>
        <v/>
      </c>
      <c r="K273" s="174" t="str">
        <f t="shared" si="36"/>
        <v/>
      </c>
      <c r="L273" s="174" t="str">
        <f t="shared" si="36"/>
        <v/>
      </c>
      <c r="M273" s="174" t="str">
        <f t="shared" si="36"/>
        <v/>
      </c>
      <c r="N273" s="174" t="str">
        <f t="shared" si="36"/>
        <v/>
      </c>
      <c r="O273" s="174" t="str">
        <f t="shared" si="36"/>
        <v/>
      </c>
      <c r="P273" s="174" t="str">
        <f t="shared" si="36"/>
        <v/>
      </c>
      <c r="Q273" s="174" t="str">
        <f t="shared" si="36"/>
        <v/>
      </c>
      <c r="R273" s="174" t="str">
        <f t="shared" si="36"/>
        <v/>
      </c>
      <c r="S273" s="174" t="str">
        <f t="shared" si="36"/>
        <v/>
      </c>
      <c r="T273" s="174" t="str">
        <f t="shared" si="36"/>
        <v/>
      </c>
      <c r="U273" s="174" t="str">
        <f t="shared" si="36"/>
        <v/>
      </c>
      <c r="V273" s="174" t="str">
        <f t="shared" si="36"/>
        <v/>
      </c>
      <c r="W273" s="174" t="str">
        <f t="shared" si="36"/>
        <v/>
      </c>
      <c r="X273" s="174" t="str">
        <f t="shared" si="36"/>
        <v/>
      </c>
      <c r="Y273" s="174" t="str">
        <f t="shared" si="36"/>
        <v/>
      </c>
      <c r="Z273" s="174" t="str">
        <f t="shared" si="36"/>
        <v/>
      </c>
      <c r="AA273" s="174" t="str">
        <f t="shared" si="36"/>
        <v/>
      </c>
      <c r="AB273" s="174" t="str">
        <f t="shared" si="36"/>
        <v/>
      </c>
      <c r="AC273" s="174" t="str">
        <f t="shared" si="36"/>
        <v/>
      </c>
      <c r="AD273" s="174" t="str">
        <f t="shared" si="36"/>
        <v/>
      </c>
      <c r="AE273" s="174" t="str">
        <f t="shared" si="36"/>
        <v/>
      </c>
      <c r="AF273" s="174" t="str">
        <f t="shared" si="3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7">IF(B241&lt;100,"",B241-1500)</f>
        <v/>
      </c>
      <c r="C274" s="174" t="str">
        <f t="shared" si="37"/>
        <v/>
      </c>
      <c r="D274" s="174" t="str">
        <f t="shared" si="37"/>
        <v/>
      </c>
      <c r="E274" s="174" t="str">
        <f t="shared" si="37"/>
        <v/>
      </c>
      <c r="F274" s="174" t="str">
        <f t="shared" si="37"/>
        <v/>
      </c>
      <c r="G274" s="174" t="str">
        <f t="shared" si="37"/>
        <v/>
      </c>
      <c r="H274" s="174" t="str">
        <f t="shared" si="37"/>
        <v/>
      </c>
      <c r="I274" s="174" t="str">
        <f t="shared" si="37"/>
        <v/>
      </c>
      <c r="J274" s="174" t="str">
        <f t="shared" si="37"/>
        <v/>
      </c>
      <c r="K274" s="174" t="str">
        <f t="shared" si="37"/>
        <v/>
      </c>
      <c r="L274" s="174" t="str">
        <f t="shared" si="37"/>
        <v/>
      </c>
      <c r="M274" s="174" t="str">
        <f t="shared" si="37"/>
        <v/>
      </c>
      <c r="N274" s="174" t="str">
        <f t="shared" si="37"/>
        <v/>
      </c>
      <c r="O274" s="174" t="str">
        <f t="shared" si="37"/>
        <v/>
      </c>
      <c r="P274" s="174" t="str">
        <f t="shared" si="37"/>
        <v/>
      </c>
      <c r="Q274" s="174" t="str">
        <f t="shared" si="37"/>
        <v/>
      </c>
      <c r="R274" s="174" t="str">
        <f t="shared" si="37"/>
        <v/>
      </c>
      <c r="S274" s="174" t="str">
        <f t="shared" si="37"/>
        <v/>
      </c>
      <c r="T274" s="174" t="str">
        <f t="shared" si="37"/>
        <v/>
      </c>
      <c r="U274" s="174" t="str">
        <f t="shared" si="37"/>
        <v/>
      </c>
      <c r="V274" s="174" t="str">
        <f t="shared" si="37"/>
        <v/>
      </c>
      <c r="W274" s="174" t="str">
        <f t="shared" si="37"/>
        <v/>
      </c>
      <c r="X274" s="174" t="str">
        <f t="shared" si="37"/>
        <v/>
      </c>
      <c r="Y274" s="174" t="str">
        <f t="shared" si="37"/>
        <v/>
      </c>
      <c r="Z274" s="174" t="str">
        <f t="shared" si="37"/>
        <v/>
      </c>
      <c r="AA274" s="174" t="str">
        <f t="shared" si="37"/>
        <v/>
      </c>
      <c r="AB274" s="174" t="str">
        <f t="shared" si="37"/>
        <v/>
      </c>
      <c r="AC274" s="174" t="str">
        <f t="shared" si="37"/>
        <v/>
      </c>
      <c r="AD274" s="174" t="str">
        <f t="shared" si="37"/>
        <v/>
      </c>
      <c r="AE274" s="174" t="str">
        <f t="shared" si="37"/>
        <v/>
      </c>
      <c r="AF274" s="174" t="str">
        <f t="shared" si="3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373" priority="65">
      <formula>$AH11=0</formula>
    </cfRule>
  </conditionalFormatting>
  <conditionalFormatting sqref="B8 M8 S8 AB8">
    <cfRule type="expression" dxfId="2372" priority="116">
      <formula>AND(C$9&gt;=14/24,C$9&lt;20/24)</formula>
    </cfRule>
    <cfRule type="expression" dxfId="2371" priority="117">
      <formula>AND(C$9&gt;=8/24,C$9&lt;14/24)</formula>
    </cfRule>
    <cfRule type="expression" dxfId="2370" priority="118">
      <formula>C$9&lt;8/24</formula>
    </cfRule>
  </conditionalFormatting>
  <conditionalFormatting sqref="B54:C54">
    <cfRule type="expression" dxfId="2369" priority="39">
      <formula>B$9&gt;=20/24</formula>
    </cfRule>
    <cfRule type="expression" dxfId="2368" priority="40">
      <formula>AND(B$9&gt;=14/24,B$9&lt;20/24)</formula>
    </cfRule>
    <cfRule type="expression" dxfId="2367" priority="41">
      <formula>AND(B$9&gt;=8/24,B$9&lt;14/24)</formula>
    </cfRule>
    <cfRule type="expression" dxfId="2366" priority="42">
      <formula>B$9&lt;8/24</formula>
    </cfRule>
  </conditionalFormatting>
  <conditionalFormatting sqref="B54:C66">
    <cfRule type="expression" dxfId="2365" priority="34">
      <formula>B54&gt;$AG54</formula>
    </cfRule>
  </conditionalFormatting>
  <conditionalFormatting sqref="B55:E59">
    <cfRule type="expression" dxfId="2364" priority="61">
      <formula>B$9&gt;=20/24</formula>
    </cfRule>
    <cfRule type="expression" dxfId="2363" priority="62">
      <formula>AND(B$9&gt;=14/24,B$9&lt;20/24)</formula>
    </cfRule>
    <cfRule type="expression" dxfId="2362" priority="63">
      <formula>AND(B$9&gt;=8/24,B$9&lt;14/24)</formula>
    </cfRule>
    <cfRule type="expression" dxfId="2361" priority="64">
      <formula>B$9&lt;8/24</formula>
    </cfRule>
  </conditionalFormatting>
  <conditionalFormatting sqref="B60:X60">
    <cfRule type="expression" dxfId="2360" priority="52">
      <formula>B$9&gt;=20/24</formula>
    </cfRule>
    <cfRule type="expression" dxfId="2359" priority="53">
      <formula>AND(B$9&gt;=14/24,B$9&lt;20/24)</formula>
    </cfRule>
    <cfRule type="expression" dxfId="2358" priority="54">
      <formula>AND(B$9&gt;=8/24,B$9&lt;14/24)</formula>
    </cfRule>
    <cfRule type="expression" dxfId="2357" priority="55">
      <formula>B$9&lt;8/24</formula>
    </cfRule>
  </conditionalFormatting>
  <conditionalFormatting sqref="B61:AF66">
    <cfRule type="expression" dxfId="2356" priority="35">
      <formula>B$9&gt;=20/24</formula>
    </cfRule>
    <cfRule type="expression" dxfId="2355" priority="36">
      <formula>AND(B$9&gt;=14/24,B$9&lt;20/24)</formula>
    </cfRule>
    <cfRule type="expression" dxfId="2354" priority="37">
      <formula>AND(B$9&gt;=8/24,B$9&lt;14/24)</formula>
    </cfRule>
    <cfRule type="expression" dxfId="2353" priority="38">
      <formula>B$9&lt;8/24</formula>
    </cfRule>
  </conditionalFormatting>
  <conditionalFormatting sqref="B9:AF45">
    <cfRule type="expression" dxfId="2352" priority="24">
      <formula>B$9&gt;=20/24</formula>
    </cfRule>
    <cfRule type="expression" dxfId="2351" priority="25">
      <formula>AND(B$9&gt;=14/24,B$9&lt;20/24)</formula>
    </cfRule>
    <cfRule type="expression" dxfId="2350" priority="26">
      <formula>AND(B$9&gt;=8/24,B$9&lt;14/24)</formula>
    </cfRule>
    <cfRule type="expression" dxfId="2349" priority="27">
      <formula>B$9&lt;8/24</formula>
    </cfRule>
  </conditionalFormatting>
  <conditionalFormatting sqref="B11:AF46">
    <cfRule type="expression" dxfId="2348" priority="23">
      <formula>B11&gt;$AG11</formula>
    </cfRule>
  </conditionalFormatting>
  <conditionalFormatting sqref="B46:AF46">
    <cfRule type="expression" dxfId="2347" priority="19">
      <formula>B$9&gt;=20/24</formula>
    </cfRule>
    <cfRule type="expression" dxfId="2346" priority="20">
      <formula>AND(B$9&gt;=14/24,B$9&lt;20/24)</formula>
    </cfRule>
    <cfRule type="expression" dxfId="2345" priority="21">
      <formula>AND(B$9&gt;=8/24,B$9&lt;14/24)</formula>
    </cfRule>
    <cfRule type="expression" dxfId="2344" priority="22">
      <formula>B$9&lt;8/24</formula>
    </cfRule>
  </conditionalFormatting>
  <conditionalFormatting sqref="B47:AF47">
    <cfRule type="expression" dxfId="2343" priority="33">
      <formula>B47&gt;$AG47</formula>
    </cfRule>
  </conditionalFormatting>
  <conditionalFormatting sqref="B47:AF49">
    <cfRule type="expression" dxfId="2342" priority="29">
      <formula>B$9&gt;=20/24</formula>
    </cfRule>
    <cfRule type="expression" dxfId="2341" priority="30">
      <formula>AND(B$9&gt;=14/24,B$9&lt;20/24)</formula>
    </cfRule>
    <cfRule type="expression" dxfId="2340" priority="31">
      <formula>AND(B$9&gt;=8/24,B$9&lt;14/24)</formula>
    </cfRule>
    <cfRule type="expression" dxfId="2339" priority="32">
      <formula>B$9&lt;8/24</formula>
    </cfRule>
  </conditionalFormatting>
  <conditionalFormatting sqref="B48:AF53">
    <cfRule type="expression" dxfId="2338" priority="28">
      <formula>B48&gt;$AG48</formula>
    </cfRule>
  </conditionalFormatting>
  <conditionalFormatting sqref="B51:AF53">
    <cfRule type="expression" dxfId="2337" priority="48">
      <formula>B$9&gt;=20/24</formula>
    </cfRule>
    <cfRule type="expression" dxfId="2336" priority="49">
      <formula>AND(B$9&gt;=14/24,B$9&lt;20/24)</formula>
    </cfRule>
    <cfRule type="expression" dxfId="2335" priority="50">
      <formula>AND(B$9&gt;=8/24,B$9&lt;14/24)</formula>
    </cfRule>
    <cfRule type="expression" dxfId="2334" priority="51">
      <formula>B$9&lt;8/24</formula>
    </cfRule>
  </conditionalFormatting>
  <conditionalFormatting sqref="B69:AF71">
    <cfRule type="expression" dxfId="2333" priority="56">
      <formula>B69&gt;$AG69</formula>
    </cfRule>
    <cfRule type="expression" dxfId="2332" priority="57">
      <formula>B$9&gt;=20/24</formula>
    </cfRule>
    <cfRule type="expression" dxfId="2331" priority="58">
      <formula>AND(B$9&gt;=14/24,B$9&lt;20/24)</formula>
    </cfRule>
    <cfRule type="expression" dxfId="2330" priority="59">
      <formula>AND(B$9&gt;=8/24,B$9&lt;14/24)</formula>
    </cfRule>
    <cfRule type="expression" dxfId="2329" priority="60">
      <formula>B$9&lt;8/24</formula>
    </cfRule>
  </conditionalFormatting>
  <conditionalFormatting sqref="B73:AF91">
    <cfRule type="expression" dxfId="2328" priority="2">
      <formula>B$9&gt;=20/24</formula>
    </cfRule>
    <cfRule type="expression" dxfId="2327" priority="3">
      <formula>AND(B$9&gt;=14/24,B$9&lt;20/24)</formula>
    </cfRule>
    <cfRule type="expression" dxfId="2326" priority="4">
      <formula>AND(B$9&gt;=8/24,B$9&lt;14/24)</formula>
    </cfRule>
    <cfRule type="expression" dxfId="2325" priority="5">
      <formula>B$9&lt;8/24</formula>
    </cfRule>
  </conditionalFormatting>
  <conditionalFormatting sqref="B111:AF120">
    <cfRule type="expression" dxfId="2324" priority="15">
      <formula>B$9&gt;=20/24</formula>
    </cfRule>
    <cfRule type="expression" dxfId="2323" priority="16">
      <formula>AND(B$9&gt;=14/24,B$9&lt;20/24)</formula>
    </cfRule>
    <cfRule type="expression" dxfId="2322" priority="17">
      <formula>AND(B$9&gt;=8/24,B$9&lt;14/24)</formula>
    </cfRule>
    <cfRule type="expression" dxfId="2321" priority="18">
      <formula>B$9&lt;8/24</formula>
    </cfRule>
  </conditionalFormatting>
  <conditionalFormatting sqref="B227:AF227 D229:AF230 B229:B235 D231:H231 J231:AF231 D232:AF235 U248:AF248">
    <cfRule type="expression" dxfId="2320" priority="109">
      <formula>B$9&gt;=20/24</formula>
    </cfRule>
    <cfRule type="expression" dxfId="2319" priority="110">
      <formula>AND(B$9&gt;=14/24,B$9&lt;20/24)</formula>
    </cfRule>
    <cfRule type="expression" dxfId="2318" priority="111">
      <formula>AND(B$9&gt;=8/24,B$9&lt;14/24)</formula>
    </cfRule>
    <cfRule type="expression" dxfId="2317" priority="112">
      <formula>B$9&lt;8/24</formula>
    </cfRule>
  </conditionalFormatting>
  <conditionalFormatting sqref="B72:AG72 B67:AG68">
    <cfRule type="expression" dxfId="2316" priority="43">
      <formula>B67&gt;$AG67</formula>
    </cfRule>
  </conditionalFormatting>
  <conditionalFormatting sqref="B72:AG72 B93:AF109">
    <cfRule type="expression" dxfId="2315" priority="44">
      <formula>B$9&gt;=20/24</formula>
    </cfRule>
    <cfRule type="expression" dxfId="2314" priority="45">
      <formula>AND(B$9&gt;=14/24,B$9&lt;20/24)</formula>
    </cfRule>
    <cfRule type="expression" dxfId="2313" priority="46">
      <formula>AND(B$9&gt;=8/24,B$9&lt;14/24)</formula>
    </cfRule>
    <cfRule type="expression" dxfId="2312" priority="47">
      <formula>B$9&lt;8/24</formula>
    </cfRule>
  </conditionalFormatting>
  <conditionalFormatting sqref="F55:AF66">
    <cfRule type="expression" dxfId="2311" priority="6">
      <formula>F55&gt;$AG55</formula>
    </cfRule>
  </conditionalFormatting>
  <conditionalFormatting sqref="D54:AG54">
    <cfRule type="expression" dxfId="2310" priority="77">
      <formula>D54&gt;$AG54</formula>
    </cfRule>
    <cfRule type="expression" dxfId="2309" priority="78">
      <formula>D$9&gt;=20/24</formula>
    </cfRule>
    <cfRule type="expression" dxfId="2308" priority="79">
      <formula>AND(D$9&gt;=14/24,D$9&lt;20/24)</formula>
    </cfRule>
    <cfRule type="expression" dxfId="2307" priority="80">
      <formula>AND(D$9&gt;=8/24,D$9&lt;14/24)</formula>
    </cfRule>
    <cfRule type="expression" dxfId="2306" priority="81">
      <formula>D$9&lt;8/24</formula>
    </cfRule>
  </conditionalFormatting>
  <conditionalFormatting sqref="F55:L57">
    <cfRule type="expression" dxfId="2305" priority="90">
      <formula>F$9&gt;=20/24</formula>
    </cfRule>
    <cfRule type="expression" dxfId="2304" priority="91">
      <formula>AND(F$9&gt;=14/24,F$9&lt;20/24)</formula>
    </cfRule>
    <cfRule type="expression" dxfId="2303" priority="92">
      <formula>AND(F$9&gt;=8/24,F$9&lt;14/24)</formula>
    </cfRule>
    <cfRule type="expression" dxfId="2302" priority="93">
      <formula>F$9&lt;8/24</formula>
    </cfRule>
  </conditionalFormatting>
  <conditionalFormatting sqref="M55:X59">
    <cfRule type="expression" dxfId="2301" priority="94">
      <formula>M$9&gt;=20/24</formula>
    </cfRule>
    <cfRule type="expression" dxfId="2300" priority="95">
      <formula>AND(M$9&gt;=14/24,M$9&lt;20/24)</formula>
    </cfRule>
    <cfRule type="expression" dxfId="2299" priority="96">
      <formula>AND(M$9&gt;=8/24,M$9&lt;14/24)</formula>
    </cfRule>
    <cfRule type="expression" dxfId="2298" priority="97">
      <formula>M$9&lt;8/24</formula>
    </cfRule>
  </conditionalFormatting>
  <conditionalFormatting sqref="O3:P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297" priority="115">
      <formula>C$9&gt;=20/24</formula>
    </cfRule>
  </conditionalFormatting>
  <conditionalFormatting sqref="S8">
    <cfRule type="expression" dxfId="2296" priority="102">
      <formula>U$9&gt;=20/24</formula>
    </cfRule>
    <cfRule type="expression" dxfId="2295" priority="103">
      <formula>AND(U$9&gt;=14/24,U$9&lt;20/24)</formula>
    </cfRule>
    <cfRule type="expression" dxfId="2294" priority="104">
      <formula>AND(U$9&gt;=8/24,U$9&lt;14/24)</formula>
    </cfRule>
    <cfRule type="expression" dxfId="2293" priority="105">
      <formula>U$9&lt;8/24</formula>
    </cfRule>
  </conditionalFormatting>
  <conditionalFormatting sqref="Y55:AF60">
    <cfRule type="expression" dxfId="2292" priority="11">
      <formula>Y$9&gt;=20/24</formula>
    </cfRule>
    <cfRule type="expression" dxfId="2291" priority="12">
      <formula>AND(Y$9&gt;=14/24,Y$9&lt;20/24)</formula>
    </cfRule>
    <cfRule type="expression" dxfId="2290" priority="13">
      <formula>AND(Y$9&gt;=8/24,Y$9&lt;14/24)</formula>
    </cfRule>
    <cfRule type="expression" dxfId="2289" priority="14">
      <formula>Y$9&lt;8/24</formula>
    </cfRule>
  </conditionalFormatting>
  <conditionalFormatting sqref="T248">
    <cfRule type="expression" dxfId="2288" priority="127">
      <formula>AX$9&gt;=20/24</formula>
    </cfRule>
    <cfRule type="expression" dxfId="2287" priority="128">
      <formula>AND(AX$9&gt;=14/24,AX$9&lt;20/24)</formula>
    </cfRule>
    <cfRule type="expression" dxfId="2286" priority="129">
      <formula>AND(AX$9&gt;=8/24,AX$9&lt;14/24)</formula>
    </cfRule>
    <cfRule type="expression" dxfId="2285" priority="130">
      <formula>AX$9&lt;8/24</formula>
    </cfRule>
  </conditionalFormatting>
  <conditionalFormatting sqref="V3 AB3">
    <cfRule type="iconSet" priority="114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284" priority="98">
      <formula>AD$9&gt;=20/24</formula>
    </cfRule>
    <cfRule type="expression" dxfId="2283" priority="99">
      <formula>AND(AD$9&gt;=14/24,AD$9&lt;20/24)</formula>
    </cfRule>
    <cfRule type="expression" dxfId="2282" priority="100">
      <formula>AND(AD$9&gt;=8/24,AD$9&lt;14/24)</formula>
    </cfRule>
    <cfRule type="expression" dxfId="2281" priority="101">
      <formula>AD$9&lt;8/24</formula>
    </cfRule>
  </conditionalFormatting>
  <conditionalFormatting sqref="AE61:AF66">
    <cfRule type="expression" dxfId="2280" priority="7">
      <formula>AE$9&gt;=20/24</formula>
    </cfRule>
    <cfRule type="expression" dxfId="2279" priority="8">
      <formula>AND(AE$9&gt;=14/24,AE$9&lt;20/24)</formula>
    </cfRule>
    <cfRule type="expression" dxfId="2278" priority="9">
      <formula>AND(AE$9&gt;=8/24,AE$9&lt;14/24)</formula>
    </cfRule>
    <cfRule type="expression" dxfId="2277" priority="10">
      <formula>AE$9&lt;8/24</formula>
    </cfRule>
  </conditionalFormatting>
  <conditionalFormatting sqref="AG50">
    <cfRule type="expression" dxfId="2276" priority="85">
      <formula>AG50&gt;$AG50</formula>
    </cfRule>
  </conditionalFormatting>
  <conditionalFormatting sqref="AG89">
    <cfRule type="expression" dxfId="2275" priority="86">
      <formula>AG$9&gt;=20/24</formula>
    </cfRule>
    <cfRule type="expression" dxfId="2274" priority="87">
      <formula>AND(AG$9&gt;=14/24,AG$9&lt;20/24)</formula>
    </cfRule>
    <cfRule type="expression" dxfId="2273" priority="88">
      <formula>AND(AG$9&gt;=8/24,AG$9&lt;14/24)</formula>
    </cfRule>
    <cfRule type="expression" dxfId="2272" priority="89">
      <formula>AG$9&lt;8/24</formula>
    </cfRule>
  </conditionalFormatting>
  <conditionalFormatting sqref="AG248">
    <cfRule type="expression" dxfId="2271" priority="119">
      <formula>B$9&gt;=20/24</formula>
    </cfRule>
    <cfRule type="expression" dxfId="2270" priority="120">
      <formula>AND(B$9&gt;=14/24,B$9&lt;20/24)</formula>
    </cfRule>
    <cfRule type="expression" dxfId="2269" priority="121">
      <formula>AND(B$9&gt;=8/24,B$9&lt;14/24)</formula>
    </cfRule>
    <cfRule type="expression" dxfId="2268" priority="122">
      <formula>B$9&lt;8/24</formula>
    </cfRule>
  </conditionalFormatting>
  <conditionalFormatting sqref="AH248:AX248">
    <cfRule type="expression" dxfId="2267" priority="123">
      <formula>AG$9&gt;=20/24</formula>
    </cfRule>
    <cfRule type="expression" dxfId="2266" priority="124">
      <formula>AND(AG$9&gt;=14/24,AG$9&lt;20/24)</formula>
    </cfRule>
    <cfRule type="expression" dxfId="2265" priority="125">
      <formula>AND(AG$9&gt;=8/24,AG$9&lt;14/24)</formula>
    </cfRule>
    <cfRule type="expression" dxfId="2264" priority="126">
      <formula>AG$9&lt;8/24</formula>
    </cfRule>
  </conditionalFormatting>
  <conditionalFormatting sqref="AL4:AL6">
    <cfRule type="iconSet" priority="108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8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4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1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263" priority="132">
      <formula>AJ$9&gt;=20/24</formula>
    </cfRule>
    <cfRule type="expression" dxfId="2262" priority="133">
      <formula>AND(AJ$9&gt;=14/24,AJ$9&lt;20/24)</formula>
    </cfRule>
    <cfRule type="expression" dxfId="2261" priority="134">
      <formula>AND(AJ$9&gt;=8/24,AJ$9&lt;14/24)</formula>
    </cfRule>
    <cfRule type="expression" dxfId="2260" priority="135">
      <formula>AJ$9&lt;8/24</formula>
    </cfRule>
  </conditionalFormatting>
  <conditionalFormatting sqref="AL80:AN80 AL86:AN86">
    <cfRule type="expression" dxfId="2259" priority="73">
      <formula>AL$9&gt;=20/24</formula>
    </cfRule>
    <cfRule type="expression" dxfId="2258" priority="74">
      <formula>AND(AL$9&gt;=14/24,AL$9&lt;20/24)</formula>
    </cfRule>
    <cfRule type="expression" dxfId="2257" priority="75">
      <formula>AND(AL$9&gt;=8/24,AL$9&lt;14/24)</formula>
    </cfRule>
    <cfRule type="expression" dxfId="2256" priority="76">
      <formula>AL$9&lt;8/24</formula>
    </cfRule>
  </conditionalFormatting>
  <conditionalFormatting sqref="AN81:AN84">
    <cfRule type="expression" dxfId="2255" priority="69">
      <formula>AN$9&gt;=20/24</formula>
    </cfRule>
    <cfRule type="expression" dxfId="2254" priority="70">
      <formula>AND(AN$9&gt;=14/24,AN$9&lt;20/24)</formula>
    </cfRule>
    <cfRule type="expression" dxfId="2253" priority="71">
      <formula>AND(AN$9&gt;=8/24,AN$9&lt;14/24)</formula>
    </cfRule>
    <cfRule type="expression" dxfId="2252" priority="72">
      <formula>AN$9&lt;8/24</formula>
    </cfRule>
  </conditionalFormatting>
  <conditionalFormatting sqref="D55:E66 F61:L66">
    <cfRule type="expression" dxfId="2251" priority="1">
      <formula>D55&gt;$AG55</formula>
    </cfRule>
  </conditionalFormatting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EB8B9-5925-47AD-BF1D-603CEEEAE56D}">
  <sheetPr codeName="Sheet38"/>
  <dimension ref="A1:CJ281"/>
  <sheetViews>
    <sheetView tabSelected="1" zoomScaleNormal="100" workbookViewId="0">
      <pane xSplit="1" ySplit="10" topLeftCell="B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Q26" sqref="Q26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9.5703125" style="1" customWidth="1"/>
    <col min="11" max="11" width="6.85546875" style="1" customWidth="1"/>
    <col min="12" max="12" width="7.140625" style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2080/05/14</v>
      </c>
      <c r="C4" s="201"/>
      <c r="D4" s="201"/>
      <c r="E4" s="202" t="str">
        <f ca="1">"2080/"&amp;"05/"&amp;INT(MID(CELL("filename",G6),FIND("]",CELL("filename",G6))+1,200))</f>
        <v>2080/05/14</v>
      </c>
      <c r="F4" s="202"/>
      <c r="G4" s="202"/>
      <c r="H4" s="202" t="s">
        <v>312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18.100000000000001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16.8</v>
      </c>
      <c r="Y5" s="30">
        <f t="shared" si="0"/>
        <v>32.299999999999997</v>
      </c>
      <c r="Z5" s="30">
        <f t="shared" si="0"/>
        <v>0</v>
      </c>
      <c r="AA5" s="30">
        <f t="shared" si="0"/>
        <v>0</v>
      </c>
      <c r="AB5" s="30">
        <f t="shared" si="0"/>
        <v>37</v>
      </c>
      <c r="AC5" s="30">
        <f t="shared" si="0"/>
        <v>37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2208MW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2028.5399999999997</v>
      </c>
      <c r="C7" s="35">
        <f t="shared" si="1"/>
        <v>2028.5399999999997</v>
      </c>
      <c r="D7" s="35">
        <f t="shared" si="1"/>
        <v>2028.5399999999997</v>
      </c>
      <c r="E7" s="35">
        <f t="shared" si="1"/>
        <v>2028.5399999999997</v>
      </c>
      <c r="F7" s="35">
        <f t="shared" si="1"/>
        <v>2008.3399999999997</v>
      </c>
      <c r="G7" s="35">
        <f t="shared" si="1"/>
        <v>2005.4399999999998</v>
      </c>
      <c r="H7" s="35">
        <f t="shared" si="1"/>
        <v>2005.7399999999998</v>
      </c>
      <c r="I7" s="35">
        <f t="shared" si="1"/>
        <v>2039.5399999999997</v>
      </c>
      <c r="J7" s="35">
        <f t="shared" si="1"/>
        <v>2088.54</v>
      </c>
      <c r="K7" s="35">
        <f t="shared" si="1"/>
        <v>2120.54</v>
      </c>
      <c r="L7" s="35">
        <f t="shared" si="1"/>
        <v>2133.54</v>
      </c>
      <c r="M7" s="35">
        <f t="shared" si="1"/>
        <v>2154.34</v>
      </c>
      <c r="N7" s="35">
        <f>N91</f>
        <v>2207.64</v>
      </c>
      <c r="O7" s="35">
        <f t="shared" si="1"/>
        <v>2230.3399999999997</v>
      </c>
      <c r="P7" s="35">
        <f t="shared" si="1"/>
        <v>2207.8399999999997</v>
      </c>
      <c r="Q7" s="35">
        <f t="shared" si="1"/>
        <v>3.54</v>
      </c>
      <c r="R7" s="35">
        <f t="shared" si="1"/>
        <v>3.54</v>
      </c>
      <c r="S7" s="35">
        <f t="shared" si="1"/>
        <v>2244.64</v>
      </c>
      <c r="T7" s="35">
        <f t="shared" si="1"/>
        <v>2195.2399999999998</v>
      </c>
      <c r="U7" s="35">
        <f t="shared" si="1"/>
        <v>2187.1400000000003</v>
      </c>
      <c r="V7" s="35">
        <f t="shared" si="1"/>
        <v>2179.1400000000003</v>
      </c>
      <c r="W7" s="35">
        <f t="shared" si="1"/>
        <v>2150.6400000000003</v>
      </c>
      <c r="X7" s="35">
        <f t="shared" si="1"/>
        <v>2236.84</v>
      </c>
      <c r="Y7" s="35">
        <f t="shared" si="1"/>
        <v>2284.44</v>
      </c>
      <c r="Z7" s="35">
        <f t="shared" si="1"/>
        <v>2273.2399999999998</v>
      </c>
      <c r="AA7" s="35">
        <f t="shared" si="1"/>
        <v>2238.9399999999996</v>
      </c>
      <c r="AB7" s="35">
        <f t="shared" si="1"/>
        <v>2227.54</v>
      </c>
      <c r="AC7" s="35">
        <f t="shared" si="1"/>
        <v>2178.2399999999998</v>
      </c>
      <c r="AD7" s="35">
        <f t="shared" si="1"/>
        <v>2173.2399999999998</v>
      </c>
      <c r="AE7" s="35">
        <f t="shared" si="1"/>
        <v>2050.14</v>
      </c>
      <c r="AF7" s="35">
        <f t="shared" si="1"/>
        <v>2016.84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85.5</v>
      </c>
      <c r="C11" s="45">
        <v>85.5</v>
      </c>
      <c r="D11" s="45">
        <v>85.5</v>
      </c>
      <c r="E11" s="45">
        <v>85.5</v>
      </c>
      <c r="F11" s="45">
        <v>85.5</v>
      </c>
      <c r="G11" s="45">
        <v>85.5</v>
      </c>
      <c r="H11" s="45">
        <v>85.5</v>
      </c>
      <c r="I11" s="45">
        <v>85.5</v>
      </c>
      <c r="J11" s="45">
        <v>85.5</v>
      </c>
      <c r="K11" s="45">
        <v>85.5</v>
      </c>
      <c r="L11" s="45">
        <v>85.5</v>
      </c>
      <c r="M11" s="45">
        <v>85.6</v>
      </c>
      <c r="N11" s="45">
        <v>85.6</v>
      </c>
      <c r="O11" s="45">
        <v>85.6</v>
      </c>
      <c r="P11" s="45">
        <v>85.6</v>
      </c>
      <c r="Q11" s="45"/>
      <c r="R11" s="45"/>
      <c r="S11" s="45">
        <v>85.6</v>
      </c>
      <c r="T11" s="45">
        <v>85.6</v>
      </c>
      <c r="U11" s="45">
        <v>85.6</v>
      </c>
      <c r="V11" s="45">
        <v>85.6</v>
      </c>
      <c r="W11" s="45">
        <v>85.6</v>
      </c>
      <c r="X11" s="45">
        <v>85.6</v>
      </c>
      <c r="Y11" s="45">
        <v>85.6</v>
      </c>
      <c r="Z11" s="45">
        <v>85.6</v>
      </c>
      <c r="AA11" s="45">
        <v>85.6</v>
      </c>
      <c r="AB11" s="45">
        <v>85.6</v>
      </c>
      <c r="AC11" s="45">
        <v>85.6</v>
      </c>
      <c r="AD11" s="45">
        <v>85.6</v>
      </c>
      <c r="AE11" s="45">
        <v>85.6</v>
      </c>
      <c r="AF11" s="45">
        <v>85.6</v>
      </c>
      <c r="AG11" s="46">
        <v>86</v>
      </c>
      <c r="AH11" s="47">
        <f t="shared" ref="AH11:AH76" si="2">MAX(B11:AF11)</f>
        <v>85.6</v>
      </c>
      <c r="AI11" s="48">
        <f t="shared" ref="AI11:AI76" si="3">MIN(B11:AF11)</f>
        <v>85.5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13</v>
      </c>
      <c r="N12" s="45">
        <v>13</v>
      </c>
      <c r="O12" s="45">
        <v>13</v>
      </c>
      <c r="P12" s="45">
        <v>13</v>
      </c>
      <c r="Q12" s="45"/>
      <c r="R12" s="45"/>
      <c r="S12" s="45">
        <v>0</v>
      </c>
      <c r="T12" s="45">
        <v>0</v>
      </c>
      <c r="U12" s="45">
        <v>0</v>
      </c>
      <c r="V12" s="45">
        <v>9</v>
      </c>
      <c r="W12" s="45">
        <v>9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52.5</v>
      </c>
      <c r="C13" s="45">
        <v>52.5</v>
      </c>
      <c r="D13" s="45">
        <v>52.5</v>
      </c>
      <c r="E13" s="45">
        <v>52.5</v>
      </c>
      <c r="F13" s="45">
        <v>52.5</v>
      </c>
      <c r="G13" s="45">
        <v>52.5</v>
      </c>
      <c r="H13" s="45">
        <v>52.5</v>
      </c>
      <c r="I13" s="45">
        <v>52.5</v>
      </c>
      <c r="J13" s="45">
        <v>52.5</v>
      </c>
      <c r="K13" s="45">
        <v>52.5</v>
      </c>
      <c r="L13" s="45">
        <v>52.5</v>
      </c>
      <c r="M13" s="45">
        <v>53.1</v>
      </c>
      <c r="N13" s="45">
        <v>54.3</v>
      </c>
      <c r="O13" s="45">
        <v>54.3</v>
      </c>
      <c r="P13" s="45">
        <v>54.3</v>
      </c>
      <c r="Q13" s="45"/>
      <c r="R13" s="45"/>
      <c r="S13" s="45">
        <v>54.3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54.3</v>
      </c>
      <c r="AI13" s="48">
        <f t="shared" si="3"/>
        <v>52.5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50.7</v>
      </c>
      <c r="D14" s="58">
        <v>50.7</v>
      </c>
      <c r="E14" s="58">
        <v>50.7</v>
      </c>
      <c r="F14" s="58">
        <v>50.7</v>
      </c>
      <c r="G14" s="58">
        <v>50.7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50.7</v>
      </c>
      <c r="N14" s="58">
        <v>50.5</v>
      </c>
      <c r="O14" s="58">
        <v>50.5</v>
      </c>
      <c r="P14" s="58">
        <v>50.5</v>
      </c>
      <c r="Q14" s="58"/>
      <c r="R14" s="58"/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45">
        <v>50.5</v>
      </c>
      <c r="AA14" s="45">
        <v>50.5</v>
      </c>
      <c r="AB14" s="45">
        <v>50.5</v>
      </c>
      <c r="AC14" s="45">
        <v>50.5</v>
      </c>
      <c r="AD14" s="45">
        <v>50.5</v>
      </c>
      <c r="AE14" s="45">
        <v>50.5</v>
      </c>
      <c r="AF14" s="45">
        <v>50.5</v>
      </c>
      <c r="AG14" s="49">
        <v>50</v>
      </c>
      <c r="AH14" s="47">
        <f t="shared" si="2"/>
        <v>50.7</v>
      </c>
      <c r="AI14" s="48">
        <f t="shared" si="3"/>
        <v>50.5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37.6</v>
      </c>
      <c r="C15" s="45">
        <v>37.6</v>
      </c>
      <c r="D15" s="45">
        <v>37.6</v>
      </c>
      <c r="E15" s="45">
        <v>37.6</v>
      </c>
      <c r="F15" s="45">
        <v>37.6</v>
      </c>
      <c r="G15" s="45">
        <v>37.6</v>
      </c>
      <c r="H15" s="45">
        <v>37.6</v>
      </c>
      <c r="I15" s="45">
        <v>37.6</v>
      </c>
      <c r="J15" s="45">
        <v>37.6</v>
      </c>
      <c r="K15" s="45">
        <v>37.6</v>
      </c>
      <c r="L15" s="45">
        <v>37.6</v>
      </c>
      <c r="M15" s="45">
        <v>46.3</v>
      </c>
      <c r="N15" s="45">
        <v>46.2</v>
      </c>
      <c r="O15" s="45">
        <v>46.2</v>
      </c>
      <c r="P15" s="45">
        <v>46.2</v>
      </c>
      <c r="Q15" s="45"/>
      <c r="R15" s="45"/>
      <c r="S15" s="45">
        <v>46.2</v>
      </c>
      <c r="T15" s="45">
        <v>46.2</v>
      </c>
      <c r="U15" s="45">
        <v>46.2</v>
      </c>
      <c r="V15" s="45">
        <v>46.2</v>
      </c>
      <c r="W15" s="45">
        <v>46.2</v>
      </c>
      <c r="X15" s="45">
        <v>46.2</v>
      </c>
      <c r="Y15" s="45">
        <v>46.2</v>
      </c>
      <c r="Z15" s="45">
        <v>46.2</v>
      </c>
      <c r="AA15" s="45">
        <v>46.2</v>
      </c>
      <c r="AB15" s="45">
        <v>46.2</v>
      </c>
      <c r="AC15" s="45">
        <v>46.2</v>
      </c>
      <c r="AD15" s="45">
        <v>46.2</v>
      </c>
      <c r="AE15" s="45">
        <v>46.2</v>
      </c>
      <c r="AF15" s="45">
        <v>46.2</v>
      </c>
      <c r="AG15" s="49">
        <v>45</v>
      </c>
      <c r="AH15" s="47">
        <f t="shared" si="2"/>
        <v>46.3</v>
      </c>
      <c r="AI15" s="48">
        <f t="shared" si="3"/>
        <v>37.6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/>
      <c r="R16" s="45"/>
      <c r="S16" s="45">
        <v>28</v>
      </c>
      <c r="T16" s="45">
        <v>30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28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30</v>
      </c>
      <c r="C17" s="45">
        <v>30</v>
      </c>
      <c r="D17" s="45">
        <v>30</v>
      </c>
      <c r="E17" s="45">
        <v>30</v>
      </c>
      <c r="F17" s="45">
        <v>30</v>
      </c>
      <c r="G17" s="45">
        <v>30</v>
      </c>
      <c r="H17" s="45">
        <v>30</v>
      </c>
      <c r="I17" s="45">
        <v>30</v>
      </c>
      <c r="J17" s="45">
        <v>30</v>
      </c>
      <c r="K17" s="45">
        <v>35</v>
      </c>
      <c r="L17" s="45">
        <v>32</v>
      </c>
      <c r="M17" s="45">
        <v>33</v>
      </c>
      <c r="N17" s="45">
        <v>33</v>
      </c>
      <c r="O17" s="45">
        <v>33</v>
      </c>
      <c r="P17" s="45">
        <v>27</v>
      </c>
      <c r="Q17" s="45"/>
      <c r="R17" s="45"/>
      <c r="S17" s="45">
        <v>27</v>
      </c>
      <c r="T17" s="45">
        <v>28.4</v>
      </c>
      <c r="U17" s="45">
        <v>30.1</v>
      </c>
      <c r="V17" s="45">
        <v>30.1</v>
      </c>
      <c r="W17" s="45">
        <v>30.1</v>
      </c>
      <c r="X17" s="45">
        <v>30.1</v>
      </c>
      <c r="Y17" s="45">
        <v>34</v>
      </c>
      <c r="Z17" s="45">
        <v>28</v>
      </c>
      <c r="AA17" s="45">
        <v>27</v>
      </c>
      <c r="AB17" s="45">
        <v>27</v>
      </c>
      <c r="AC17" s="45">
        <v>0</v>
      </c>
      <c r="AD17" s="45">
        <v>0</v>
      </c>
      <c r="AE17" s="45">
        <v>25</v>
      </c>
      <c r="AF17" s="45">
        <v>25</v>
      </c>
      <c r="AG17" s="49">
        <v>42</v>
      </c>
      <c r="AH17" s="47">
        <f t="shared" si="2"/>
        <v>35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/>
      <c r="R18" s="45"/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/>
      <c r="R19" s="45"/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15</v>
      </c>
      <c r="K20" s="45">
        <v>25</v>
      </c>
      <c r="L20" s="45">
        <v>25</v>
      </c>
      <c r="M20" s="45">
        <v>25.6</v>
      </c>
      <c r="N20" s="45">
        <v>30</v>
      </c>
      <c r="O20" s="45">
        <v>30</v>
      </c>
      <c r="P20" s="45">
        <v>30</v>
      </c>
      <c r="Q20" s="45"/>
      <c r="R20" s="45"/>
      <c r="S20" s="45">
        <v>30</v>
      </c>
      <c r="T20" s="45">
        <v>30</v>
      </c>
      <c r="U20" s="45">
        <v>30</v>
      </c>
      <c r="V20" s="45">
        <v>30</v>
      </c>
      <c r="W20" s="45">
        <v>20</v>
      </c>
      <c r="X20" s="45">
        <v>30</v>
      </c>
      <c r="Y20" s="45">
        <v>30</v>
      </c>
      <c r="Z20" s="45">
        <v>30</v>
      </c>
      <c r="AA20" s="45">
        <v>30</v>
      </c>
      <c r="AB20" s="45">
        <v>30</v>
      </c>
      <c r="AC20" s="45">
        <v>20</v>
      </c>
      <c r="AD20" s="45">
        <v>20</v>
      </c>
      <c r="AE20" s="45">
        <v>5</v>
      </c>
      <c r="AF20" s="45">
        <v>5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30</v>
      </c>
      <c r="C21" s="45">
        <v>30</v>
      </c>
      <c r="D21" s="45">
        <v>30</v>
      </c>
      <c r="E21" s="45">
        <v>30</v>
      </c>
      <c r="F21" s="45">
        <v>30</v>
      </c>
      <c r="G21" s="45">
        <v>30</v>
      </c>
      <c r="H21" s="45">
        <v>30</v>
      </c>
      <c r="I21" s="45">
        <v>30</v>
      </c>
      <c r="J21" s="45">
        <v>30</v>
      </c>
      <c r="K21" s="45">
        <v>30</v>
      </c>
      <c r="L21" s="45">
        <v>30</v>
      </c>
      <c r="M21" s="45">
        <v>30</v>
      </c>
      <c r="N21" s="45">
        <v>30</v>
      </c>
      <c r="O21" s="45">
        <v>30</v>
      </c>
      <c r="P21" s="45">
        <v>30</v>
      </c>
      <c r="Q21" s="45"/>
      <c r="R21" s="45"/>
      <c r="S21" s="45">
        <v>30</v>
      </c>
      <c r="T21" s="45">
        <v>30</v>
      </c>
      <c r="U21" s="45">
        <v>30</v>
      </c>
      <c r="V21" s="45">
        <v>30</v>
      </c>
      <c r="W21" s="45">
        <v>30</v>
      </c>
      <c r="X21" s="45">
        <v>30</v>
      </c>
      <c r="Y21" s="45">
        <v>30</v>
      </c>
      <c r="Z21" s="45">
        <v>30</v>
      </c>
      <c r="AA21" s="45">
        <v>30</v>
      </c>
      <c r="AB21" s="45">
        <v>30</v>
      </c>
      <c r="AC21" s="45">
        <v>30</v>
      </c>
      <c r="AD21" s="45">
        <v>30</v>
      </c>
      <c r="AE21" s="45">
        <v>30</v>
      </c>
      <c r="AF21" s="45">
        <v>30</v>
      </c>
      <c r="AG21" s="49">
        <v>24.2</v>
      </c>
      <c r="AH21" s="47">
        <f t="shared" si="2"/>
        <v>30</v>
      </c>
      <c r="AI21" s="48">
        <f t="shared" si="3"/>
        <v>30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/>
      <c r="R22" s="45"/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10</v>
      </c>
      <c r="J23" s="45">
        <v>10</v>
      </c>
      <c r="K23" s="45">
        <v>27</v>
      </c>
      <c r="L23" s="45">
        <v>27</v>
      </c>
      <c r="M23" s="45">
        <v>17</v>
      </c>
      <c r="N23" s="45">
        <v>27</v>
      </c>
      <c r="O23" s="45">
        <v>27</v>
      </c>
      <c r="P23" s="45">
        <v>27</v>
      </c>
      <c r="Q23" s="45"/>
      <c r="R23" s="45"/>
      <c r="S23" s="45">
        <v>27</v>
      </c>
      <c r="T23" s="45">
        <v>27</v>
      </c>
      <c r="U23" s="45">
        <v>27</v>
      </c>
      <c r="V23" s="45">
        <v>27</v>
      </c>
      <c r="W23" s="45">
        <v>18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20</v>
      </c>
      <c r="AD23" s="45">
        <v>20</v>
      </c>
      <c r="AE23" s="45">
        <v>5</v>
      </c>
      <c r="AF23" s="45">
        <v>5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26.1</v>
      </c>
      <c r="N24" s="45">
        <v>26</v>
      </c>
      <c r="O24" s="45">
        <v>24.6</v>
      </c>
      <c r="P24" s="45">
        <v>24.6</v>
      </c>
      <c r="Q24" s="45"/>
      <c r="R24" s="45"/>
      <c r="S24" s="45">
        <v>24.6</v>
      </c>
      <c r="T24" s="45">
        <v>24.6</v>
      </c>
      <c r="U24" s="45">
        <v>24.6</v>
      </c>
      <c r="V24" s="45">
        <v>24.6</v>
      </c>
      <c r="W24" s="45">
        <v>24.6</v>
      </c>
      <c r="X24" s="45">
        <v>24.6</v>
      </c>
      <c r="Y24" s="45">
        <v>24.6</v>
      </c>
      <c r="Z24" s="45">
        <v>24.6</v>
      </c>
      <c r="AA24" s="45">
        <v>24.6</v>
      </c>
      <c r="AB24" s="45">
        <v>24.6</v>
      </c>
      <c r="AC24" s="45">
        <v>24.6</v>
      </c>
      <c r="AD24" s="45">
        <v>24.6</v>
      </c>
      <c r="AE24" s="45">
        <v>24</v>
      </c>
      <c r="AF24" s="45">
        <v>24</v>
      </c>
      <c r="AG24" s="49">
        <v>25</v>
      </c>
      <c r="AH24" s="47">
        <f t="shared" si="2"/>
        <v>26.1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/>
      <c r="R25" s="45"/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/>
      <c r="R26" s="45"/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10</v>
      </c>
      <c r="K27" s="45">
        <v>15</v>
      </c>
      <c r="L27" s="45">
        <v>25</v>
      </c>
      <c r="M27" s="45">
        <v>25</v>
      </c>
      <c r="N27" s="45">
        <v>25</v>
      </c>
      <c r="O27" s="45">
        <v>25</v>
      </c>
      <c r="P27" s="45">
        <v>25</v>
      </c>
      <c r="Q27" s="45"/>
      <c r="R27" s="45"/>
      <c r="S27" s="45">
        <v>25</v>
      </c>
      <c r="T27" s="45">
        <v>25</v>
      </c>
      <c r="U27" s="45">
        <v>25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20</v>
      </c>
      <c r="AD27" s="45">
        <v>20</v>
      </c>
      <c r="AE27" s="45">
        <v>5</v>
      </c>
      <c r="AF27" s="45">
        <v>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24.9</v>
      </c>
      <c r="C28" s="45">
        <v>24.9</v>
      </c>
      <c r="D28" s="45">
        <v>24.9</v>
      </c>
      <c r="E28" s="45">
        <v>24.9</v>
      </c>
      <c r="F28" s="45">
        <v>24.9</v>
      </c>
      <c r="G28" s="45">
        <v>24.9</v>
      </c>
      <c r="H28" s="45">
        <v>24.9</v>
      </c>
      <c r="I28" s="45">
        <v>24.9</v>
      </c>
      <c r="J28" s="45">
        <v>24.9</v>
      </c>
      <c r="K28" s="45">
        <v>24.9</v>
      </c>
      <c r="L28" s="45">
        <v>24.9</v>
      </c>
      <c r="M28" s="45">
        <v>25</v>
      </c>
      <c r="N28" s="45">
        <v>25</v>
      </c>
      <c r="O28" s="45">
        <v>25</v>
      </c>
      <c r="P28" s="45">
        <v>25</v>
      </c>
      <c r="Q28" s="45"/>
      <c r="R28" s="45"/>
      <c r="S28" s="45">
        <v>25</v>
      </c>
      <c r="T28" s="45">
        <v>19</v>
      </c>
      <c r="U28" s="45">
        <v>19</v>
      </c>
      <c r="V28" s="45">
        <v>19</v>
      </c>
      <c r="W28" s="45">
        <v>19</v>
      </c>
      <c r="X28" s="45">
        <v>19</v>
      </c>
      <c r="Y28" s="45">
        <v>19</v>
      </c>
      <c r="Z28" s="45">
        <v>19</v>
      </c>
      <c r="AA28" s="45">
        <v>19</v>
      </c>
      <c r="AB28" s="45">
        <v>19</v>
      </c>
      <c r="AC28" s="45">
        <v>19</v>
      </c>
      <c r="AD28" s="45">
        <v>19</v>
      </c>
      <c r="AE28" s="45">
        <v>19</v>
      </c>
      <c r="AF28" s="45">
        <v>19</v>
      </c>
      <c r="AG28" s="49">
        <v>23.5</v>
      </c>
      <c r="AH28" s="47">
        <f t="shared" si="2"/>
        <v>25</v>
      </c>
      <c r="AI28" s="48">
        <f t="shared" si="3"/>
        <v>19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/>
      <c r="R29" s="45"/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/>
      <c r="R30" s="45"/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/>
      <c r="R31" s="45"/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/>
      <c r="R32" s="45"/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10</v>
      </c>
      <c r="K33" s="45">
        <v>10</v>
      </c>
      <c r="L33" s="45">
        <v>10</v>
      </c>
      <c r="M33" s="45">
        <v>10</v>
      </c>
      <c r="N33" s="45">
        <v>10</v>
      </c>
      <c r="O33" s="45">
        <v>10</v>
      </c>
      <c r="P33" s="45">
        <v>10</v>
      </c>
      <c r="Q33" s="45"/>
      <c r="R33" s="45"/>
      <c r="S33" s="45">
        <v>10</v>
      </c>
      <c r="T33" s="45">
        <v>10</v>
      </c>
      <c r="U33" s="45">
        <v>5</v>
      </c>
      <c r="V33" s="45">
        <v>5</v>
      </c>
      <c r="W33" s="45">
        <v>5</v>
      </c>
      <c r="X33" s="45">
        <v>5</v>
      </c>
      <c r="Y33" s="45">
        <v>9</v>
      </c>
      <c r="Z33" s="45">
        <v>5</v>
      </c>
      <c r="AA33" s="45">
        <v>4</v>
      </c>
      <c r="AB33" s="45">
        <v>4</v>
      </c>
      <c r="AC33" s="45">
        <v>0</v>
      </c>
      <c r="AD33" s="45">
        <v>0</v>
      </c>
      <c r="AE33" s="45">
        <v>0</v>
      </c>
      <c r="AF33" s="45">
        <v>0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2</v>
      </c>
      <c r="C34" s="45">
        <v>2</v>
      </c>
      <c r="D34" s="45">
        <v>2</v>
      </c>
      <c r="E34" s="45">
        <v>2</v>
      </c>
      <c r="F34" s="45">
        <v>2</v>
      </c>
      <c r="G34" s="45">
        <v>2</v>
      </c>
      <c r="H34" s="45">
        <v>2</v>
      </c>
      <c r="I34" s="45">
        <v>2</v>
      </c>
      <c r="J34" s="45">
        <v>10</v>
      </c>
      <c r="K34" s="45">
        <v>10</v>
      </c>
      <c r="L34" s="45">
        <v>10</v>
      </c>
      <c r="M34" s="45">
        <v>10</v>
      </c>
      <c r="N34" s="45">
        <v>10</v>
      </c>
      <c r="O34" s="45">
        <v>10</v>
      </c>
      <c r="P34" s="45">
        <v>10</v>
      </c>
      <c r="Q34" s="45"/>
      <c r="R34" s="45"/>
      <c r="S34" s="45">
        <v>9</v>
      </c>
      <c r="T34" s="45">
        <v>9</v>
      </c>
      <c r="U34" s="45">
        <v>5</v>
      </c>
      <c r="V34" s="45">
        <v>5</v>
      </c>
      <c r="W34" s="45">
        <v>5</v>
      </c>
      <c r="X34" s="45">
        <v>5</v>
      </c>
      <c r="Y34" s="45">
        <v>9</v>
      </c>
      <c r="Z34" s="45">
        <v>5</v>
      </c>
      <c r="AA34" s="45">
        <v>5</v>
      </c>
      <c r="AB34" s="45">
        <v>5</v>
      </c>
      <c r="AC34" s="45">
        <v>5</v>
      </c>
      <c r="AD34" s="45">
        <v>5</v>
      </c>
      <c r="AE34" s="45">
        <v>0</v>
      </c>
      <c r="AF34" s="45">
        <v>0</v>
      </c>
      <c r="AG34" s="49">
        <v>18</v>
      </c>
      <c r="AH34" s="47">
        <f t="shared" si="2"/>
        <v>10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/>
      <c r="R35" s="45"/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/>
      <c r="R36" s="45"/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0</v>
      </c>
      <c r="C37" s="45">
        <v>0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0</v>
      </c>
      <c r="M37" s="45">
        <v>0</v>
      </c>
      <c r="N37" s="45">
        <v>0</v>
      </c>
      <c r="O37" s="45">
        <v>0</v>
      </c>
      <c r="P37" s="45">
        <v>0</v>
      </c>
      <c r="Q37" s="45"/>
      <c r="R37" s="45"/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9">
        <v>13.6</v>
      </c>
      <c r="AH37" s="47">
        <f t="shared" si="2"/>
        <v>0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/>
      <c r="R38" s="45"/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6</v>
      </c>
      <c r="K39" s="45">
        <v>6</v>
      </c>
      <c r="L39" s="45">
        <v>12</v>
      </c>
      <c r="M39" s="45">
        <v>12</v>
      </c>
      <c r="N39" s="45">
        <v>12</v>
      </c>
      <c r="O39" s="45">
        <v>12</v>
      </c>
      <c r="P39" s="45">
        <v>12</v>
      </c>
      <c r="Q39" s="45"/>
      <c r="R39" s="45"/>
      <c r="S39" s="45">
        <v>0</v>
      </c>
      <c r="T39" s="45">
        <v>0</v>
      </c>
      <c r="U39" s="45">
        <v>0</v>
      </c>
      <c r="V39" s="45">
        <v>4</v>
      </c>
      <c r="W39" s="45">
        <v>4</v>
      </c>
      <c r="X39" s="45">
        <v>12</v>
      </c>
      <c r="Y39" s="45">
        <v>12</v>
      </c>
      <c r="Z39" s="45">
        <v>12</v>
      </c>
      <c r="AA39" s="45">
        <v>12</v>
      </c>
      <c r="AB39" s="45">
        <v>12</v>
      </c>
      <c r="AC39" s="45">
        <v>6</v>
      </c>
      <c r="AD39" s="45">
        <v>6</v>
      </c>
      <c r="AE39" s="45">
        <v>3</v>
      </c>
      <c r="AF39" s="45">
        <v>3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9</v>
      </c>
      <c r="C40" s="45">
        <v>9</v>
      </c>
      <c r="D40" s="45">
        <v>9</v>
      </c>
      <c r="E40" s="45">
        <v>9</v>
      </c>
      <c r="F40" s="45">
        <v>9</v>
      </c>
      <c r="G40" s="45">
        <v>9</v>
      </c>
      <c r="H40" s="45">
        <v>9</v>
      </c>
      <c r="I40" s="45">
        <v>9</v>
      </c>
      <c r="J40" s="45">
        <v>9</v>
      </c>
      <c r="K40" s="45">
        <v>9</v>
      </c>
      <c r="L40" s="45">
        <v>9</v>
      </c>
      <c r="M40" s="45">
        <v>12</v>
      </c>
      <c r="N40" s="45">
        <v>12</v>
      </c>
      <c r="O40" s="45">
        <v>12</v>
      </c>
      <c r="P40" s="45">
        <v>12</v>
      </c>
      <c r="Q40" s="45"/>
      <c r="R40" s="45"/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9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5</v>
      </c>
      <c r="C41" s="45">
        <v>5</v>
      </c>
      <c r="D41" s="45">
        <v>5</v>
      </c>
      <c r="E41" s="45">
        <v>5</v>
      </c>
      <c r="F41" s="45">
        <v>5</v>
      </c>
      <c r="G41" s="45">
        <v>5</v>
      </c>
      <c r="H41" s="45">
        <v>5</v>
      </c>
      <c r="I41" s="45">
        <v>5</v>
      </c>
      <c r="J41" s="45">
        <v>5</v>
      </c>
      <c r="K41" s="45">
        <v>5</v>
      </c>
      <c r="L41" s="45">
        <v>5</v>
      </c>
      <c r="M41" s="45">
        <v>0</v>
      </c>
      <c r="N41" s="45">
        <v>0</v>
      </c>
      <c r="O41" s="45">
        <v>0</v>
      </c>
      <c r="P41" s="45">
        <v>0</v>
      </c>
      <c r="Q41" s="45"/>
      <c r="R41" s="45"/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5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/>
      <c r="R42" s="45"/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/>
      <c r="R43" s="45"/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/>
      <c r="R44" s="45"/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9</v>
      </c>
      <c r="Q45" s="45"/>
      <c r="R45" s="45"/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0</v>
      </c>
      <c r="AD45" s="45">
        <v>0</v>
      </c>
      <c r="AE45" s="45">
        <v>0</v>
      </c>
      <c r="AF45" s="45">
        <v>0</v>
      </c>
      <c r="AG45" s="54">
        <v>10</v>
      </c>
      <c r="AH45" s="47">
        <f t="shared" si="2"/>
        <v>9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/>
      <c r="R46" s="45"/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/>
      <c r="R47" s="45"/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/>
      <c r="R48" s="56"/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125</v>
      </c>
      <c r="C49" s="56">
        <v>125</v>
      </c>
      <c r="D49" s="56">
        <v>125</v>
      </c>
      <c r="E49" s="56">
        <v>125</v>
      </c>
      <c r="F49" s="56">
        <v>125</v>
      </c>
      <c r="G49" s="56">
        <v>125</v>
      </c>
      <c r="H49" s="56">
        <v>125</v>
      </c>
      <c r="I49" s="56">
        <v>125</v>
      </c>
      <c r="J49" s="56">
        <v>125</v>
      </c>
      <c r="K49" s="56">
        <v>125</v>
      </c>
      <c r="L49" s="56">
        <v>125</v>
      </c>
      <c r="M49" s="58">
        <f>88.2+33.5</f>
        <v>121.7</v>
      </c>
      <c r="N49" s="58">
        <f>89.6+33.8</f>
        <v>123.39999999999999</v>
      </c>
      <c r="O49" s="58">
        <v>122</v>
      </c>
      <c r="P49" s="58">
        <f>90.9+34.7</f>
        <v>125.60000000000001</v>
      </c>
      <c r="Q49" s="58"/>
      <c r="R49" s="58"/>
      <c r="S49" s="58">
        <v>125.60000000000001</v>
      </c>
      <c r="T49" s="58">
        <v>125.60000000000001</v>
      </c>
      <c r="U49" s="58">
        <v>123.8</v>
      </c>
      <c r="V49" s="58">
        <v>121</v>
      </c>
      <c r="W49" s="58">
        <f>32.8+86</f>
        <v>118.8</v>
      </c>
      <c r="X49" s="56">
        <v>119.1</v>
      </c>
      <c r="Y49" s="56">
        <v>119.1</v>
      </c>
      <c r="Z49" s="56">
        <v>121.5</v>
      </c>
      <c r="AA49" s="56">
        <v>120</v>
      </c>
      <c r="AB49" s="56">
        <v>120</v>
      </c>
      <c r="AC49" s="56">
        <v>120</v>
      </c>
      <c r="AD49" s="56">
        <v>120</v>
      </c>
      <c r="AE49" s="56">
        <v>120</v>
      </c>
      <c r="AF49" s="56">
        <v>120</v>
      </c>
      <c r="AG49" s="54">
        <v>240</v>
      </c>
      <c r="AH49" s="47">
        <f t="shared" si="2"/>
        <v>125.60000000000001</v>
      </c>
      <c r="AI49" s="48">
        <f t="shared" si="3"/>
        <v>118.8</v>
      </c>
      <c r="AK49" s="50"/>
    </row>
    <row r="50" spans="1:41" ht="15.75" thickBot="1" x14ac:dyDescent="0.3">
      <c r="A50" s="59" t="s">
        <v>58</v>
      </c>
      <c r="B50" s="60">
        <f t="shared" ref="B50:AA50" si="4">SUM(B11:B48)</f>
        <v>1066.3</v>
      </c>
      <c r="C50" s="60">
        <f t="shared" si="4"/>
        <v>1066.3</v>
      </c>
      <c r="D50" s="60">
        <f t="shared" si="4"/>
        <v>1066.3</v>
      </c>
      <c r="E50" s="60">
        <f t="shared" si="4"/>
        <v>1066.3</v>
      </c>
      <c r="F50" s="60">
        <f t="shared" si="4"/>
        <v>1066.3</v>
      </c>
      <c r="G50" s="60">
        <f t="shared" si="4"/>
        <v>1066.3</v>
      </c>
      <c r="H50" s="60">
        <f t="shared" si="4"/>
        <v>1066.3</v>
      </c>
      <c r="I50" s="60">
        <f t="shared" si="4"/>
        <v>1076.3</v>
      </c>
      <c r="J50" s="60">
        <f t="shared" si="4"/>
        <v>1125.3</v>
      </c>
      <c r="K50" s="60">
        <f t="shared" si="4"/>
        <v>1162.3</v>
      </c>
      <c r="L50" s="60">
        <f t="shared" si="4"/>
        <v>1175.3</v>
      </c>
      <c r="M50" s="60">
        <f t="shared" si="4"/>
        <v>1189</v>
      </c>
      <c r="N50" s="60">
        <f t="shared" si="4"/>
        <v>1204.2</v>
      </c>
      <c r="O50" s="60">
        <f t="shared" si="4"/>
        <v>1202.8</v>
      </c>
      <c r="P50" s="60">
        <f t="shared" si="4"/>
        <v>1196.8</v>
      </c>
      <c r="Q50" s="60">
        <f t="shared" si="4"/>
        <v>0</v>
      </c>
      <c r="R50" s="60">
        <f t="shared" si="4"/>
        <v>0</v>
      </c>
      <c r="S50" s="60">
        <f t="shared" si="4"/>
        <v>1154.8</v>
      </c>
      <c r="T50" s="60">
        <f t="shared" si="4"/>
        <v>1152.2</v>
      </c>
      <c r="U50" s="60">
        <f t="shared" si="4"/>
        <v>1158.9000000000001</v>
      </c>
      <c r="V50" s="60">
        <f t="shared" si="4"/>
        <v>1171.9000000000001</v>
      </c>
      <c r="W50" s="60">
        <f t="shared" si="4"/>
        <v>1152.9000000000001</v>
      </c>
      <c r="X50" s="60">
        <f t="shared" si="4"/>
        <v>1183.9000000000001</v>
      </c>
      <c r="Y50" s="60">
        <f t="shared" si="4"/>
        <v>1195.8</v>
      </c>
      <c r="Z50" s="60">
        <f t="shared" si="4"/>
        <v>1181.8</v>
      </c>
      <c r="AA50" s="60">
        <f t="shared" si="4"/>
        <v>1179.8</v>
      </c>
      <c r="AB50" s="60">
        <f>SUM(AB11:AB48)</f>
        <v>1179.8</v>
      </c>
      <c r="AC50" s="60">
        <f>SUM(AC11:AC48)</f>
        <v>1111.8</v>
      </c>
      <c r="AD50" s="60">
        <f>SUM(AD11:AD48)</f>
        <v>1111.8</v>
      </c>
      <c r="AE50" s="60">
        <f>SUM(AE11:AE48)</f>
        <v>1083.2</v>
      </c>
      <c r="AF50" s="60">
        <f>SUM(AF11:AF48)</f>
        <v>1083.2</v>
      </c>
      <c r="AG50" s="61">
        <f>SUM(AG13:AG48)</f>
        <v>922.14</v>
      </c>
      <c r="AH50" s="47">
        <f t="shared" si="2"/>
        <v>1204.2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175"/>
      <c r="R51" s="175"/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/>
      <c r="R52" s="64"/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/>
      <c r="R53" s="66"/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5">SUM(B51:B53)</f>
        <v>538.4</v>
      </c>
      <c r="C54" s="60">
        <f t="shared" si="5"/>
        <v>538.4</v>
      </c>
      <c r="D54" s="60">
        <f t="shared" si="5"/>
        <v>538.4</v>
      </c>
      <c r="E54" s="60">
        <f t="shared" si="5"/>
        <v>538.4</v>
      </c>
      <c r="F54" s="60">
        <f t="shared" si="5"/>
        <v>538.4</v>
      </c>
      <c r="G54" s="60">
        <f t="shared" si="5"/>
        <v>538.4</v>
      </c>
      <c r="H54" s="60">
        <f t="shared" si="5"/>
        <v>538.4</v>
      </c>
      <c r="I54" s="60">
        <f t="shared" si="5"/>
        <v>538.4</v>
      </c>
      <c r="J54" s="60">
        <f t="shared" si="5"/>
        <v>538.4</v>
      </c>
      <c r="K54" s="60">
        <f t="shared" si="5"/>
        <v>538.4</v>
      </c>
      <c r="L54" s="60">
        <f t="shared" si="5"/>
        <v>538.4</v>
      </c>
      <c r="M54" s="60">
        <f t="shared" si="5"/>
        <v>538.4</v>
      </c>
      <c r="N54" s="60">
        <f>SUM(N51:N53)</f>
        <v>538.4</v>
      </c>
      <c r="O54" s="60">
        <f>SUM(O51:O53)</f>
        <v>538.4</v>
      </c>
      <c r="P54" s="60">
        <f>SUM(P51:P53)</f>
        <v>538.4</v>
      </c>
      <c r="Q54" s="60">
        <f>SUM(R51:R53)</f>
        <v>0</v>
      </c>
      <c r="R54" s="60">
        <f t="shared" si="5"/>
        <v>0</v>
      </c>
      <c r="S54" s="60">
        <f t="shared" si="5"/>
        <v>538.4</v>
      </c>
      <c r="T54" s="60">
        <f t="shared" si="5"/>
        <v>538.4</v>
      </c>
      <c r="U54" s="60">
        <f t="shared" si="5"/>
        <v>538.4</v>
      </c>
      <c r="V54" s="60">
        <f t="shared" si="5"/>
        <v>538.4</v>
      </c>
      <c r="W54" s="60">
        <f t="shared" si="5"/>
        <v>538.4</v>
      </c>
      <c r="X54" s="60">
        <f t="shared" si="5"/>
        <v>538.4</v>
      </c>
      <c r="Y54" s="60">
        <f t="shared" si="5"/>
        <v>538.4</v>
      </c>
      <c r="Z54" s="60">
        <f t="shared" si="5"/>
        <v>538.4</v>
      </c>
      <c r="AA54" s="60">
        <f t="shared" si="5"/>
        <v>538.4</v>
      </c>
      <c r="AB54" s="60">
        <f>SUM(AB51:AB53)</f>
        <v>538.4</v>
      </c>
      <c r="AC54" s="60">
        <f>SUM(AC51:AC53)</f>
        <v>538.4</v>
      </c>
      <c r="AD54" s="60">
        <f t="shared" si="5"/>
        <v>538.4</v>
      </c>
      <c r="AE54" s="60">
        <f>SUM(AE51:AE53)</f>
        <v>538.4</v>
      </c>
      <c r="AF54" s="60">
        <f>SUM(AF51:AF53)</f>
        <v>538.4</v>
      </c>
      <c r="AG54" s="61">
        <f t="shared" si="5"/>
        <v>538.1</v>
      </c>
      <c r="AH54" s="47">
        <f t="shared" si="2"/>
        <v>538.4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145.19999999999999</v>
      </c>
      <c r="C55" s="45">
        <v>145.19999999999999</v>
      </c>
      <c r="D55" s="45">
        <v>145.19999999999999</v>
      </c>
      <c r="E55" s="45">
        <v>145.19999999999999</v>
      </c>
      <c r="F55" s="45">
        <v>125</v>
      </c>
      <c r="G55" s="45">
        <v>125</v>
      </c>
      <c r="H55" s="45">
        <v>135</v>
      </c>
      <c r="I55" s="45">
        <v>144</v>
      </c>
      <c r="J55" s="45">
        <v>144</v>
      </c>
      <c r="K55" s="45">
        <v>144</v>
      </c>
      <c r="L55" s="45">
        <v>144</v>
      </c>
      <c r="M55" s="45">
        <v>144</v>
      </c>
      <c r="N55" s="45">
        <v>146</v>
      </c>
      <c r="O55" s="45">
        <v>146</v>
      </c>
      <c r="P55" s="45">
        <v>146.4</v>
      </c>
      <c r="Q55" s="45"/>
      <c r="R55" s="45"/>
      <c r="S55" s="45">
        <v>146.4</v>
      </c>
      <c r="T55" s="45">
        <v>146.4</v>
      </c>
      <c r="U55" s="45">
        <v>146.4</v>
      </c>
      <c r="V55" s="45">
        <v>146.4</v>
      </c>
      <c r="W55" s="45">
        <v>146.4</v>
      </c>
      <c r="X55" s="45">
        <v>146.4</v>
      </c>
      <c r="Y55" s="45">
        <v>146.4</v>
      </c>
      <c r="Z55" s="45">
        <v>146.4</v>
      </c>
      <c r="AA55" s="45">
        <v>146.4</v>
      </c>
      <c r="AB55" s="45">
        <v>146.4</v>
      </c>
      <c r="AC55" s="45">
        <v>146.4</v>
      </c>
      <c r="AD55" s="45">
        <v>146.4</v>
      </c>
      <c r="AE55" s="45">
        <v>131</v>
      </c>
      <c r="AF55" s="45">
        <v>131</v>
      </c>
      <c r="AG55" s="51">
        <v>144</v>
      </c>
      <c r="AH55" s="47">
        <f t="shared" si="2"/>
        <v>146.4</v>
      </c>
      <c r="AI55" s="48">
        <f t="shared" si="3"/>
        <v>125</v>
      </c>
      <c r="AK55" s="50"/>
    </row>
    <row r="56" spans="1:41" x14ac:dyDescent="0.25">
      <c r="A56" s="53" t="s">
        <v>64</v>
      </c>
      <c r="B56" s="64">
        <v>69.7</v>
      </c>
      <c r="C56" s="64">
        <v>69.7</v>
      </c>
      <c r="D56" s="64">
        <v>69.7</v>
      </c>
      <c r="E56" s="64">
        <v>69.7</v>
      </c>
      <c r="F56" s="64">
        <v>69.7</v>
      </c>
      <c r="G56" s="64">
        <v>69.7</v>
      </c>
      <c r="H56" s="64">
        <v>60</v>
      </c>
      <c r="I56" s="64">
        <v>69.7</v>
      </c>
      <c r="J56" s="64">
        <v>69.7</v>
      </c>
      <c r="K56" s="64">
        <v>69.7</v>
      </c>
      <c r="L56" s="64">
        <v>69.7</v>
      </c>
      <c r="M56" s="64">
        <v>71.900000000000006</v>
      </c>
      <c r="N56" s="64">
        <v>70.2</v>
      </c>
      <c r="O56" s="64">
        <v>70</v>
      </c>
      <c r="P56" s="64">
        <v>69.900000000000006</v>
      </c>
      <c r="Q56" s="64"/>
      <c r="R56" s="64"/>
      <c r="S56" s="45">
        <v>69.900000000000006</v>
      </c>
      <c r="T56" s="45">
        <v>69.900000000000006</v>
      </c>
      <c r="U56" s="45">
        <v>69.900000000000006</v>
      </c>
      <c r="V56" s="45">
        <v>69.900000000000006</v>
      </c>
      <c r="W56" s="45">
        <v>69.900000000000006</v>
      </c>
      <c r="X56" s="45">
        <v>69.900000000000006</v>
      </c>
      <c r="Y56" s="45">
        <v>69.900000000000006</v>
      </c>
      <c r="Z56" s="45">
        <v>69.900000000000006</v>
      </c>
      <c r="AA56" s="45">
        <v>69.900000000000006</v>
      </c>
      <c r="AB56" s="45">
        <v>69.900000000000006</v>
      </c>
      <c r="AC56" s="45">
        <v>69.900000000000006</v>
      </c>
      <c r="AD56" s="45">
        <v>69.900000000000006</v>
      </c>
      <c r="AE56" s="45">
        <v>50</v>
      </c>
      <c r="AF56" s="45">
        <v>50</v>
      </c>
      <c r="AG56" s="54">
        <v>70</v>
      </c>
      <c r="AH56" s="47">
        <f t="shared" si="2"/>
        <v>71.900000000000006</v>
      </c>
      <c r="AI56" s="48">
        <f t="shared" si="3"/>
        <v>50</v>
      </c>
      <c r="AK56" s="50"/>
    </row>
    <row r="57" spans="1:41" x14ac:dyDescent="0.25">
      <c r="A57" s="53" t="s">
        <v>65</v>
      </c>
      <c r="B57" s="64">
        <v>66.8</v>
      </c>
      <c r="C57" s="64">
        <v>66.8</v>
      </c>
      <c r="D57" s="64">
        <v>66.8</v>
      </c>
      <c r="E57" s="64">
        <v>66.8</v>
      </c>
      <c r="F57" s="64">
        <v>66.8</v>
      </c>
      <c r="G57" s="64">
        <v>66.8</v>
      </c>
      <c r="H57" s="64">
        <v>66.8</v>
      </c>
      <c r="I57" s="64">
        <v>66.8</v>
      </c>
      <c r="J57" s="64">
        <v>66.8</v>
      </c>
      <c r="K57" s="64">
        <v>66.8</v>
      </c>
      <c r="L57" s="64">
        <v>66.8</v>
      </c>
      <c r="M57" s="64">
        <v>66.7</v>
      </c>
      <c r="N57" s="64">
        <v>66.599999999999994</v>
      </c>
      <c r="O57" s="64">
        <v>66.599999999999994</v>
      </c>
      <c r="P57" s="64">
        <v>66.400000000000006</v>
      </c>
      <c r="Q57" s="64"/>
      <c r="R57" s="64"/>
      <c r="S57" s="45">
        <v>66.400000000000006</v>
      </c>
      <c r="T57" s="45">
        <v>66.400000000000006</v>
      </c>
      <c r="U57" s="45">
        <v>66.400000000000006</v>
      </c>
      <c r="V57" s="45">
        <v>66.400000000000006</v>
      </c>
      <c r="W57" s="45">
        <v>66.400000000000006</v>
      </c>
      <c r="X57" s="45">
        <v>66.400000000000006</v>
      </c>
      <c r="Y57" s="45">
        <v>66.400000000000006</v>
      </c>
      <c r="Z57" s="45">
        <v>66.400000000000006</v>
      </c>
      <c r="AA57" s="45">
        <v>66.400000000000006</v>
      </c>
      <c r="AB57" s="45">
        <v>66.400000000000006</v>
      </c>
      <c r="AC57" s="45">
        <v>66.400000000000006</v>
      </c>
      <c r="AD57" s="45">
        <v>66.400000000000006</v>
      </c>
      <c r="AE57" s="45">
        <v>68</v>
      </c>
      <c r="AF57" s="45">
        <v>51</v>
      </c>
      <c r="AG57" s="54">
        <v>69</v>
      </c>
      <c r="AH57" s="47">
        <f t="shared" si="2"/>
        <v>68</v>
      </c>
      <c r="AI57" s="48">
        <f t="shared" si="3"/>
        <v>51</v>
      </c>
      <c r="AK57" s="50"/>
    </row>
    <row r="58" spans="1:41" x14ac:dyDescent="0.25">
      <c r="A58" s="53" t="s">
        <v>66</v>
      </c>
      <c r="B58" s="64">
        <v>54.9</v>
      </c>
      <c r="C58" s="64">
        <v>54.9</v>
      </c>
      <c r="D58" s="64">
        <v>54.9</v>
      </c>
      <c r="E58" s="64">
        <v>54.9</v>
      </c>
      <c r="F58" s="64">
        <v>54.9</v>
      </c>
      <c r="G58" s="64">
        <v>54.9</v>
      </c>
      <c r="H58" s="64">
        <v>54.9</v>
      </c>
      <c r="I58" s="64">
        <v>60</v>
      </c>
      <c r="J58" s="64">
        <v>60</v>
      </c>
      <c r="K58" s="64">
        <v>60</v>
      </c>
      <c r="L58" s="64">
        <v>60</v>
      </c>
      <c r="M58" s="64">
        <v>61.2</v>
      </c>
      <c r="N58" s="64">
        <v>60.4</v>
      </c>
      <c r="O58" s="64">
        <v>60.4</v>
      </c>
      <c r="P58" s="64">
        <v>60.4</v>
      </c>
      <c r="Q58" s="64"/>
      <c r="R58" s="64"/>
      <c r="S58" s="45">
        <v>60.4</v>
      </c>
      <c r="T58" s="45">
        <v>60.4</v>
      </c>
      <c r="U58" s="45">
        <v>60.4</v>
      </c>
      <c r="V58" s="45">
        <v>60.4</v>
      </c>
      <c r="W58" s="45">
        <v>60.4</v>
      </c>
      <c r="X58" s="45">
        <v>60.4</v>
      </c>
      <c r="Y58" s="45">
        <v>60.4</v>
      </c>
      <c r="Z58" s="45">
        <v>60.4</v>
      </c>
      <c r="AA58" s="45">
        <v>60.4</v>
      </c>
      <c r="AB58" s="45">
        <v>60.4</v>
      </c>
      <c r="AC58" s="45">
        <v>46</v>
      </c>
      <c r="AD58" s="45">
        <v>46</v>
      </c>
      <c r="AE58" s="45">
        <v>46</v>
      </c>
      <c r="AF58" s="45">
        <v>46</v>
      </c>
      <c r="AG58" s="54">
        <v>60</v>
      </c>
      <c r="AH58" s="47">
        <f t="shared" si="2"/>
        <v>61.2</v>
      </c>
      <c r="AI58" s="48">
        <f t="shared" si="3"/>
        <v>46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30</v>
      </c>
      <c r="F59" s="64">
        <v>30</v>
      </c>
      <c r="G59" s="64">
        <v>30</v>
      </c>
      <c r="H59" s="64">
        <v>30</v>
      </c>
      <c r="I59" s="64">
        <v>30</v>
      </c>
      <c r="J59" s="64">
        <v>30</v>
      </c>
      <c r="K59" s="64">
        <v>25</v>
      </c>
      <c r="L59" s="64">
        <v>25</v>
      </c>
      <c r="M59" s="64">
        <v>15</v>
      </c>
      <c r="N59" s="64">
        <v>29</v>
      </c>
      <c r="O59" s="64">
        <v>29</v>
      </c>
      <c r="P59" s="64">
        <v>29</v>
      </c>
      <c r="Q59" s="64"/>
      <c r="R59" s="64"/>
      <c r="S59" s="45">
        <v>29</v>
      </c>
      <c r="T59" s="45">
        <v>29</v>
      </c>
      <c r="U59" s="45">
        <v>29</v>
      </c>
      <c r="V59" s="45">
        <v>29</v>
      </c>
      <c r="W59" s="45">
        <v>29</v>
      </c>
      <c r="X59" s="45">
        <v>29</v>
      </c>
      <c r="Y59" s="45">
        <v>29</v>
      </c>
      <c r="Z59" s="45">
        <v>29</v>
      </c>
      <c r="AA59" s="45">
        <v>29</v>
      </c>
      <c r="AB59" s="45">
        <v>29</v>
      </c>
      <c r="AC59" s="45">
        <v>29</v>
      </c>
      <c r="AD59" s="45">
        <v>29</v>
      </c>
      <c r="AE59" s="45">
        <v>29</v>
      </c>
      <c r="AF59" s="45">
        <v>29</v>
      </c>
      <c r="AG59" s="54">
        <v>30</v>
      </c>
      <c r="AH59" s="47">
        <f t="shared" si="2"/>
        <v>30</v>
      </c>
      <c r="AI59" s="48">
        <f t="shared" si="3"/>
        <v>15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3.2</v>
      </c>
      <c r="N60" s="64">
        <v>5.5</v>
      </c>
      <c r="O60" s="64">
        <v>12.3</v>
      </c>
      <c r="P60" s="64">
        <v>12.5</v>
      </c>
      <c r="Q60" s="64"/>
      <c r="R60" s="64"/>
      <c r="S60" s="45">
        <v>12.5</v>
      </c>
      <c r="T60" s="45">
        <v>5.5</v>
      </c>
      <c r="U60" s="45">
        <v>2.2999999999999998</v>
      </c>
      <c r="V60" s="45">
        <v>1.1000000000000001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12.5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/>
      <c r="R61" s="64"/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5</v>
      </c>
      <c r="N62" s="64">
        <v>5</v>
      </c>
      <c r="O62" s="64">
        <v>5</v>
      </c>
      <c r="P62" s="64">
        <v>5</v>
      </c>
      <c r="Q62" s="64"/>
      <c r="R62" s="64"/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12.2</v>
      </c>
      <c r="C63" s="64">
        <v>12.2</v>
      </c>
      <c r="D63" s="64">
        <v>12.2</v>
      </c>
      <c r="E63" s="64">
        <v>12.2</v>
      </c>
      <c r="F63" s="64">
        <v>12.2</v>
      </c>
      <c r="G63" s="64">
        <v>12.2</v>
      </c>
      <c r="H63" s="64">
        <v>12.2</v>
      </c>
      <c r="I63" s="64">
        <v>12.2</v>
      </c>
      <c r="J63" s="64">
        <v>12.2</v>
      </c>
      <c r="K63" s="64">
        <v>12.2</v>
      </c>
      <c r="L63" s="64">
        <v>12.2</v>
      </c>
      <c r="M63" s="64">
        <v>12.2</v>
      </c>
      <c r="N63" s="64">
        <v>12</v>
      </c>
      <c r="O63" s="64">
        <v>12</v>
      </c>
      <c r="P63" s="64">
        <v>12</v>
      </c>
      <c r="Q63" s="64"/>
      <c r="R63" s="64"/>
      <c r="S63" s="64">
        <v>12</v>
      </c>
      <c r="T63" s="64">
        <v>12</v>
      </c>
      <c r="U63" s="64">
        <v>12</v>
      </c>
      <c r="V63" s="64">
        <v>12</v>
      </c>
      <c r="W63" s="64">
        <v>12</v>
      </c>
      <c r="X63" s="64">
        <v>12</v>
      </c>
      <c r="Y63" s="64">
        <v>12</v>
      </c>
      <c r="Z63" s="64">
        <v>12</v>
      </c>
      <c r="AA63" s="64">
        <v>12</v>
      </c>
      <c r="AB63" s="64">
        <v>12</v>
      </c>
      <c r="AC63" s="64">
        <v>12</v>
      </c>
      <c r="AD63" s="64">
        <v>12</v>
      </c>
      <c r="AE63" s="64">
        <v>12</v>
      </c>
      <c r="AF63" s="64">
        <v>12</v>
      </c>
      <c r="AG63" s="54">
        <v>14.1</v>
      </c>
      <c r="AH63" s="47">
        <f t="shared" si="2"/>
        <v>12.2</v>
      </c>
      <c r="AI63" s="48">
        <f t="shared" si="3"/>
        <v>12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11.3</v>
      </c>
      <c r="C64" s="64">
        <v>11.3</v>
      </c>
      <c r="D64" s="64">
        <v>11.3</v>
      </c>
      <c r="E64" s="64">
        <v>11.3</v>
      </c>
      <c r="F64" s="64">
        <v>11.3</v>
      </c>
      <c r="G64" s="64">
        <v>8.4</v>
      </c>
      <c r="H64" s="64">
        <v>8.4</v>
      </c>
      <c r="I64" s="64">
        <v>8.4</v>
      </c>
      <c r="J64" s="64">
        <v>8.4</v>
      </c>
      <c r="K64" s="64">
        <v>8.4</v>
      </c>
      <c r="L64" s="64">
        <v>8.4</v>
      </c>
      <c r="M64" s="64">
        <v>14</v>
      </c>
      <c r="N64" s="64">
        <v>14</v>
      </c>
      <c r="O64" s="64">
        <v>14.1</v>
      </c>
      <c r="P64" s="64">
        <v>10.7</v>
      </c>
      <c r="Q64" s="64"/>
      <c r="R64" s="64"/>
      <c r="S64" s="64">
        <v>0</v>
      </c>
      <c r="T64" s="64">
        <v>0</v>
      </c>
      <c r="U64" s="64">
        <v>7</v>
      </c>
      <c r="V64" s="64">
        <v>13.8</v>
      </c>
      <c r="W64" s="64">
        <v>13.8</v>
      </c>
      <c r="X64" s="64">
        <v>13.8</v>
      </c>
      <c r="Y64" s="64">
        <v>13.8</v>
      </c>
      <c r="Z64" s="64">
        <v>13.8</v>
      </c>
      <c r="AA64" s="64">
        <v>13.8</v>
      </c>
      <c r="AB64" s="64">
        <v>13.8</v>
      </c>
      <c r="AC64" s="64">
        <v>13.8</v>
      </c>
      <c r="AD64" s="64">
        <v>13.8</v>
      </c>
      <c r="AE64" s="64">
        <v>13.8</v>
      </c>
      <c r="AF64" s="64">
        <v>13.8</v>
      </c>
      <c r="AG64" s="54">
        <v>14</v>
      </c>
      <c r="AH64" s="47">
        <f t="shared" si="2"/>
        <v>14.1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/>
      <c r="R65" s="64"/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/>
      <c r="R66" s="64"/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4.54</v>
      </c>
      <c r="Q67" s="71">
        <v>3.54</v>
      </c>
      <c r="R67" s="71">
        <v>3.54</v>
      </c>
      <c r="S67" s="71">
        <v>3.54</v>
      </c>
      <c r="T67" s="71">
        <v>4.54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4.54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423.84</v>
      </c>
      <c r="C68" s="60">
        <f t="shared" si="6"/>
        <v>423.84</v>
      </c>
      <c r="D68" s="60">
        <f t="shared" si="6"/>
        <v>423.84</v>
      </c>
      <c r="E68" s="60">
        <f t="shared" si="6"/>
        <v>423.84</v>
      </c>
      <c r="F68" s="60">
        <f t="shared" si="6"/>
        <v>403.64</v>
      </c>
      <c r="G68" s="60">
        <f t="shared" si="6"/>
        <v>400.73999999999995</v>
      </c>
      <c r="H68" s="60">
        <f t="shared" si="6"/>
        <v>401.03999999999996</v>
      </c>
      <c r="I68" s="60">
        <f t="shared" si="6"/>
        <v>424.84</v>
      </c>
      <c r="J68" s="60">
        <f t="shared" si="6"/>
        <v>424.84</v>
      </c>
      <c r="K68" s="60">
        <f t="shared" si="6"/>
        <v>419.84</v>
      </c>
      <c r="L68" s="60">
        <f t="shared" si="6"/>
        <v>419.84</v>
      </c>
      <c r="M68" s="60">
        <f t="shared" si="6"/>
        <v>426.94</v>
      </c>
      <c r="N68" s="60">
        <f t="shared" si="6"/>
        <v>442.43999999999994</v>
      </c>
      <c r="O68" s="60">
        <f t="shared" si="6"/>
        <v>449.14000000000004</v>
      </c>
      <c r="P68" s="60">
        <f>SUM(P55:P67)</f>
        <v>447.04</v>
      </c>
      <c r="Q68" s="60">
        <f t="shared" si="6"/>
        <v>3.54</v>
      </c>
      <c r="R68" s="60">
        <f t="shared" si="6"/>
        <v>3.54</v>
      </c>
      <c r="S68" s="60">
        <f t="shared" si="6"/>
        <v>435.34000000000003</v>
      </c>
      <c r="T68" s="60">
        <f>SUM(T55:T67)</f>
        <v>429.34000000000003</v>
      </c>
      <c r="U68" s="60">
        <f t="shared" si="6"/>
        <v>432.14000000000004</v>
      </c>
      <c r="V68" s="60">
        <f t="shared" si="6"/>
        <v>437.74000000000007</v>
      </c>
      <c r="W68" s="60">
        <f t="shared" si="6"/>
        <v>436.64000000000004</v>
      </c>
      <c r="X68" s="60">
        <f t="shared" si="6"/>
        <v>436.64000000000004</v>
      </c>
      <c r="Y68" s="60">
        <f t="shared" si="6"/>
        <v>436.64000000000004</v>
      </c>
      <c r="Z68" s="60">
        <f t="shared" si="6"/>
        <v>436.64000000000004</v>
      </c>
      <c r="AA68" s="60">
        <f t="shared" si="6"/>
        <v>436.64000000000004</v>
      </c>
      <c r="AB68" s="60">
        <f>SUM(AB55:AB67)</f>
        <v>436.64000000000004</v>
      </c>
      <c r="AC68" s="60">
        <f>SUM(AC55:AC67)</f>
        <v>422.24000000000007</v>
      </c>
      <c r="AD68" s="60">
        <f>SUM(AD55:AD67)</f>
        <v>422.24000000000007</v>
      </c>
      <c r="AE68" s="60">
        <f>SUM(AE55:AE67)</f>
        <v>388.54</v>
      </c>
      <c r="AF68" s="60">
        <f>SUM(AF55:AF67)</f>
        <v>371.54</v>
      </c>
      <c r="AG68" s="61">
        <f t="shared" si="6"/>
        <v>489.91</v>
      </c>
      <c r="AH68" s="47">
        <f t="shared" si="2"/>
        <v>449.14000000000004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>
        <v>14</v>
      </c>
      <c r="O69" s="45">
        <v>24</v>
      </c>
      <c r="P69" s="45">
        <v>16</v>
      </c>
      <c r="Q69" s="45"/>
      <c r="R69" s="45"/>
      <c r="S69" s="45">
        <v>59.2</v>
      </c>
      <c r="T69" s="45">
        <v>40.6</v>
      </c>
      <c r="U69" s="45">
        <v>34</v>
      </c>
      <c r="V69" s="45">
        <v>14</v>
      </c>
      <c r="W69" s="45">
        <v>14</v>
      </c>
      <c r="X69" s="45">
        <v>40</v>
      </c>
      <c r="Y69" s="45">
        <v>60</v>
      </c>
      <c r="Z69" s="45">
        <v>50</v>
      </c>
      <c r="AA69" s="45">
        <v>50</v>
      </c>
      <c r="AB69" s="45">
        <v>45</v>
      </c>
      <c r="AC69" s="45">
        <v>40</v>
      </c>
      <c r="AD69" s="45">
        <v>35</v>
      </c>
      <c r="AE69" s="45">
        <v>30</v>
      </c>
      <c r="AF69" s="45">
        <v>14</v>
      </c>
      <c r="AG69" s="51">
        <v>60</v>
      </c>
      <c r="AH69" s="47">
        <f t="shared" si="2"/>
        <v>60</v>
      </c>
      <c r="AI69" s="48">
        <f t="shared" si="3"/>
        <v>14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>
        <v>6.3</v>
      </c>
      <c r="O70" s="64">
        <v>12</v>
      </c>
      <c r="P70" s="64">
        <v>6.8</v>
      </c>
      <c r="Q70" s="64"/>
      <c r="R70" s="64"/>
      <c r="S70" s="64">
        <v>28.4</v>
      </c>
      <c r="T70" s="64">
        <v>25.4</v>
      </c>
      <c r="U70" s="64">
        <v>17.399999999999999</v>
      </c>
      <c r="V70" s="64">
        <v>12.5</v>
      </c>
      <c r="W70" s="64">
        <v>6.4</v>
      </c>
      <c r="X70" s="64">
        <v>27.8</v>
      </c>
      <c r="Y70" s="64">
        <v>27</v>
      </c>
      <c r="Z70" s="64">
        <v>25</v>
      </c>
      <c r="AA70" s="64">
        <v>25</v>
      </c>
      <c r="AB70" s="64">
        <v>20.3</v>
      </c>
      <c r="AC70" s="64">
        <v>21.4</v>
      </c>
      <c r="AD70" s="64">
        <v>21.4</v>
      </c>
      <c r="AE70" s="64">
        <v>7</v>
      </c>
      <c r="AF70" s="64">
        <v>7</v>
      </c>
      <c r="AG70" s="54">
        <v>32</v>
      </c>
      <c r="AH70" s="47">
        <f t="shared" si="2"/>
        <v>28.4</v>
      </c>
      <c r="AI70" s="48">
        <f t="shared" si="3"/>
        <v>6.3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>
        <v>2.2999999999999998</v>
      </c>
      <c r="O71" s="66">
        <v>4</v>
      </c>
      <c r="P71" s="66">
        <v>2.8</v>
      </c>
      <c r="Q71" s="66"/>
      <c r="R71" s="66"/>
      <c r="S71" s="66">
        <v>10.4</v>
      </c>
      <c r="T71" s="66">
        <v>9.3000000000000007</v>
      </c>
      <c r="U71" s="66">
        <v>6.3</v>
      </c>
      <c r="V71" s="66">
        <v>4.5999999999999996</v>
      </c>
      <c r="W71" s="66">
        <v>2.2999999999999998</v>
      </c>
      <c r="X71" s="66">
        <v>10.1</v>
      </c>
      <c r="Y71" s="66">
        <v>9.8000000000000007</v>
      </c>
      <c r="Z71" s="66">
        <v>9.1</v>
      </c>
      <c r="AA71" s="66">
        <v>9.1</v>
      </c>
      <c r="AB71" s="66">
        <v>7.4</v>
      </c>
      <c r="AC71" s="66">
        <v>7.4</v>
      </c>
      <c r="AD71" s="66">
        <v>7.4</v>
      </c>
      <c r="AE71" s="66">
        <v>3</v>
      </c>
      <c r="AF71" s="66">
        <v>2.7</v>
      </c>
      <c r="AG71" s="67">
        <v>14</v>
      </c>
      <c r="AH71" s="47">
        <f t="shared" si="2"/>
        <v>10.4</v>
      </c>
      <c r="AI71" s="48">
        <f t="shared" si="3"/>
        <v>2.2999999999999998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A72" si="7">M69+M70+M71</f>
        <v>0</v>
      </c>
      <c r="N72" s="60">
        <f t="shared" si="7"/>
        <v>22.6</v>
      </c>
      <c r="O72" s="60">
        <f t="shared" si="7"/>
        <v>40</v>
      </c>
      <c r="P72" s="60">
        <f>P69+P70+P71</f>
        <v>25.6</v>
      </c>
      <c r="Q72" s="60">
        <f t="shared" si="7"/>
        <v>0</v>
      </c>
      <c r="R72" s="60">
        <f t="shared" si="7"/>
        <v>0</v>
      </c>
      <c r="S72" s="60">
        <f t="shared" si="7"/>
        <v>98</v>
      </c>
      <c r="T72" s="60">
        <f>T69+T70+T71</f>
        <v>75.3</v>
      </c>
      <c r="U72" s="60">
        <f t="shared" si="7"/>
        <v>57.699999999999996</v>
      </c>
      <c r="V72" s="60">
        <f t="shared" si="7"/>
        <v>31.1</v>
      </c>
      <c r="W72" s="60">
        <f t="shared" si="7"/>
        <v>22.7</v>
      </c>
      <c r="X72" s="60">
        <f t="shared" si="7"/>
        <v>77.899999999999991</v>
      </c>
      <c r="Y72" s="60">
        <f t="shared" si="7"/>
        <v>96.8</v>
      </c>
      <c r="Z72" s="60">
        <f t="shared" si="7"/>
        <v>84.1</v>
      </c>
      <c r="AA72" s="60">
        <f t="shared" si="7"/>
        <v>84.1</v>
      </c>
      <c r="AB72" s="60">
        <f>AB69+AB70+AB71</f>
        <v>72.7</v>
      </c>
      <c r="AC72" s="60">
        <f>AC69+AC70+AC71</f>
        <v>68.8</v>
      </c>
      <c r="AD72" s="60">
        <f>AD69+AD70+AD71</f>
        <v>63.8</v>
      </c>
      <c r="AE72" s="60">
        <f>AE69+AE70+AE71</f>
        <v>40</v>
      </c>
      <c r="AF72" s="60">
        <f>AF69+AF70+AF71</f>
        <v>23.7</v>
      </c>
      <c r="AG72" s="61">
        <f>SUM(AG69:AG71)</f>
        <v>106</v>
      </c>
      <c r="AH72" s="47">
        <f t="shared" si="2"/>
        <v>98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-55.4</v>
      </c>
      <c r="C73" s="45">
        <v>-56.1</v>
      </c>
      <c r="D73" s="45">
        <v>-58.9</v>
      </c>
      <c r="E73" s="45">
        <v>-60</v>
      </c>
      <c r="F73" s="45">
        <v>-61</v>
      </c>
      <c r="G73" s="45">
        <v>-62</v>
      </c>
      <c r="H73" s="45">
        <v>-65</v>
      </c>
      <c r="I73" s="45">
        <v>-65</v>
      </c>
      <c r="J73" s="45">
        <v>-65</v>
      </c>
      <c r="K73" s="45">
        <v>-70</v>
      </c>
      <c r="L73" s="45">
        <v>-72</v>
      </c>
      <c r="M73" s="45">
        <v>-54.7</v>
      </c>
      <c r="N73" s="45">
        <v>-65</v>
      </c>
      <c r="O73" s="45">
        <v>-35</v>
      </c>
      <c r="P73" s="45">
        <v>-42</v>
      </c>
      <c r="Q73" s="45"/>
      <c r="R73" s="45"/>
      <c r="S73" s="45">
        <v>18.100000000000001</v>
      </c>
      <c r="T73" s="45">
        <v>-10.1</v>
      </c>
      <c r="U73" s="45">
        <v>-45</v>
      </c>
      <c r="V73" s="45">
        <v>-48</v>
      </c>
      <c r="W73" s="45">
        <v>-53.6</v>
      </c>
      <c r="X73" s="45">
        <v>-56.9</v>
      </c>
      <c r="Y73" s="45">
        <v>16.8</v>
      </c>
      <c r="Z73" s="45">
        <v>32.299999999999997</v>
      </c>
      <c r="AA73" s="45">
        <v>-26.7</v>
      </c>
      <c r="AB73" s="45">
        <v>-21</v>
      </c>
      <c r="AC73" s="45">
        <v>37</v>
      </c>
      <c r="AD73" s="45">
        <v>37</v>
      </c>
      <c r="AE73" s="45">
        <v>-10</v>
      </c>
      <c r="AF73" s="45">
        <v>-15</v>
      </c>
      <c r="AG73" s="51"/>
      <c r="AH73" s="47">
        <f t="shared" si="2"/>
        <v>37</v>
      </c>
      <c r="AI73" s="48">
        <f t="shared" si="3"/>
        <v>-72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-586.6</v>
      </c>
      <c r="C75" s="64">
        <v>-601.5</v>
      </c>
      <c r="D75" s="64">
        <v>-658</v>
      </c>
      <c r="E75" s="64">
        <v>-595</v>
      </c>
      <c r="F75" s="64">
        <v>-613</v>
      </c>
      <c r="G75" s="64">
        <v>-609</v>
      </c>
      <c r="H75" s="64">
        <v>-612</v>
      </c>
      <c r="I75" s="64">
        <v>-620</v>
      </c>
      <c r="J75" s="64">
        <v>-580</v>
      </c>
      <c r="K75" s="64">
        <v>-580</v>
      </c>
      <c r="L75" s="64">
        <v>-550</v>
      </c>
      <c r="M75" s="64">
        <v>-565.70000000000005</v>
      </c>
      <c r="N75" s="64">
        <v>-541.29999999999995</v>
      </c>
      <c r="O75" s="64">
        <v>-518.5</v>
      </c>
      <c r="P75" s="64">
        <v>-528.20000000000005</v>
      </c>
      <c r="Q75" s="64"/>
      <c r="R75" s="64"/>
      <c r="S75" s="64">
        <v>-522.29999999999995</v>
      </c>
      <c r="T75" s="64">
        <v>-502</v>
      </c>
      <c r="U75" s="64">
        <v>-514</v>
      </c>
      <c r="V75" s="64">
        <v>-557</v>
      </c>
      <c r="W75" s="64">
        <v>-525</v>
      </c>
      <c r="X75" s="64">
        <v>-547</v>
      </c>
      <c r="Y75" s="64">
        <v>-528</v>
      </c>
      <c r="Z75" s="64">
        <v>-533</v>
      </c>
      <c r="AA75" s="64">
        <v>-498</v>
      </c>
      <c r="AB75" s="64">
        <v>-504</v>
      </c>
      <c r="AC75" s="64">
        <v>-533</v>
      </c>
      <c r="AD75" s="64">
        <v>-510</v>
      </c>
      <c r="AE75" s="64">
        <v>-560</v>
      </c>
      <c r="AF75" s="64">
        <v>-540</v>
      </c>
      <c r="AG75" s="74"/>
      <c r="AH75" s="47">
        <f t="shared" si="2"/>
        <v>-498</v>
      </c>
      <c r="AI75" s="48">
        <f t="shared" si="3"/>
        <v>-658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A84" si="10">SUMIF(B73:B83,"&gt;0")</f>
        <v>0</v>
      </c>
      <c r="C84" s="60">
        <f t="shared" si="10"/>
        <v>0</v>
      </c>
      <c r="D84" s="60">
        <f t="shared" si="10"/>
        <v>0</v>
      </c>
      <c r="E84" s="60">
        <f t="shared" si="10"/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>SUMIF(P73:P83,"&gt;0")</f>
        <v>0</v>
      </c>
      <c r="Q84" s="60">
        <f t="shared" si="10"/>
        <v>0</v>
      </c>
      <c r="R84" s="60">
        <f t="shared" si="10"/>
        <v>0</v>
      </c>
      <c r="S84" s="60">
        <f t="shared" si="10"/>
        <v>18.100000000000001</v>
      </c>
      <c r="T84" s="60">
        <f>SUMIF(T73:T83,"&gt;0")</f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16.8</v>
      </c>
      <c r="Z84" s="60">
        <f t="shared" si="10"/>
        <v>32.299999999999997</v>
      </c>
      <c r="AA84" s="60">
        <f t="shared" si="10"/>
        <v>0</v>
      </c>
      <c r="AB84" s="60">
        <f>SUMIF(AB73:AB83,"&gt;0")</f>
        <v>0</v>
      </c>
      <c r="AC84" s="60">
        <f>SUMIF(AC73:AC83,"&gt;0")</f>
        <v>37</v>
      </c>
      <c r="AD84" s="60">
        <f>SUMIF(AD73:AD83,"&gt;0")</f>
        <v>37</v>
      </c>
      <c r="AE84" s="60">
        <f>SUMIF(AE73:AE83,"&gt;0")</f>
        <v>0</v>
      </c>
      <c r="AF84" s="60">
        <f>SUMIF(AF73:AF83,"&gt;0")</f>
        <v>0</v>
      </c>
      <c r="AG84" s="87">
        <f>SUM(AG73:AG83)</f>
        <v>0</v>
      </c>
      <c r="AH84" s="47">
        <f t="shared" si="8"/>
        <v>37</v>
      </c>
      <c r="AI84" s="48">
        <f t="shared" si="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2028.5399999999997</v>
      </c>
      <c r="C89" s="94">
        <f t="shared" si="11"/>
        <v>2028.5399999999997</v>
      </c>
      <c r="D89" s="94">
        <f t="shared" si="11"/>
        <v>2028.5399999999997</v>
      </c>
      <c r="E89" s="94">
        <f t="shared" si="11"/>
        <v>2028.5399999999997</v>
      </c>
      <c r="F89" s="94">
        <f t="shared" si="11"/>
        <v>2008.3399999999997</v>
      </c>
      <c r="G89" s="94">
        <f t="shared" si="11"/>
        <v>2005.4399999999998</v>
      </c>
      <c r="H89" s="94">
        <f t="shared" si="11"/>
        <v>2005.7399999999998</v>
      </c>
      <c r="I89" s="94">
        <f t="shared" si="11"/>
        <v>2039.5399999999997</v>
      </c>
      <c r="J89" s="94">
        <f t="shared" si="11"/>
        <v>2088.54</v>
      </c>
      <c r="K89" s="94">
        <f t="shared" si="11"/>
        <v>2120.54</v>
      </c>
      <c r="L89" s="94">
        <f t="shared" si="11"/>
        <v>2133.54</v>
      </c>
      <c r="M89" s="94">
        <f t="shared" si="11"/>
        <v>2154.34</v>
      </c>
      <c r="N89" s="94">
        <f t="shared" si="11"/>
        <v>2207.64</v>
      </c>
      <c r="O89" s="94">
        <f t="shared" si="11"/>
        <v>2230.3399999999997</v>
      </c>
      <c r="P89" s="94">
        <f>P50+P54+P72+P68+P84+P88</f>
        <v>2207.8399999999997</v>
      </c>
      <c r="Q89" s="94">
        <f t="shared" si="11"/>
        <v>3.54</v>
      </c>
      <c r="R89" s="94">
        <f t="shared" si="11"/>
        <v>3.54</v>
      </c>
      <c r="S89" s="94">
        <f t="shared" si="11"/>
        <v>2244.64</v>
      </c>
      <c r="T89" s="94">
        <f>T50+T54+T72+T68+T84+T88</f>
        <v>2195.2399999999998</v>
      </c>
      <c r="U89" s="94">
        <f t="shared" si="11"/>
        <v>2187.1400000000003</v>
      </c>
      <c r="V89" s="94">
        <f t="shared" si="11"/>
        <v>2179.1400000000003</v>
      </c>
      <c r="W89" s="94">
        <f t="shared" si="11"/>
        <v>2150.6400000000003</v>
      </c>
      <c r="X89" s="94">
        <f t="shared" si="11"/>
        <v>2236.84</v>
      </c>
      <c r="Y89" s="94">
        <f t="shared" si="11"/>
        <v>2284.44</v>
      </c>
      <c r="Z89" s="94">
        <f t="shared" si="11"/>
        <v>2273.2399999999998</v>
      </c>
      <c r="AA89" s="94">
        <f t="shared" si="11"/>
        <v>2238.9399999999996</v>
      </c>
      <c r="AB89" s="94">
        <f>AB50+AB54+AB72+AB68+AB84+AB88</f>
        <v>2227.54</v>
      </c>
      <c r="AC89" s="94">
        <f>AC50+AC54+AC72+AC68+AC84+AC88</f>
        <v>2178.2399999999998</v>
      </c>
      <c r="AD89" s="94">
        <f>AD50+AD54+AD72+AD68+AD84+AD88</f>
        <v>2173.2399999999998</v>
      </c>
      <c r="AE89" s="94">
        <f>AE50+AE54+AE72+AE68+AE84+AE88</f>
        <v>2050.14</v>
      </c>
      <c r="AF89" s="94">
        <f>AF50+AF54+AF72+AF68+AF84+AF88</f>
        <v>2016.84</v>
      </c>
      <c r="AG89" s="61">
        <f t="shared" si="11"/>
        <v>2111.5500000000002</v>
      </c>
      <c r="AH89" s="47">
        <f t="shared" si="8"/>
        <v>2284.44</v>
      </c>
      <c r="AI89" s="48">
        <f t="shared" si="9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A91" si="12">B89+B90</f>
        <v>2028.5399999999997</v>
      </c>
      <c r="C91" s="94">
        <f t="shared" si="12"/>
        <v>2028.5399999999997</v>
      </c>
      <c r="D91" s="94">
        <f t="shared" si="12"/>
        <v>2028.5399999999997</v>
      </c>
      <c r="E91" s="94">
        <f t="shared" si="12"/>
        <v>2028.5399999999997</v>
      </c>
      <c r="F91" s="94">
        <f t="shared" si="12"/>
        <v>2008.3399999999997</v>
      </c>
      <c r="G91" s="94">
        <f t="shared" si="12"/>
        <v>2005.4399999999998</v>
      </c>
      <c r="H91" s="94">
        <f t="shared" si="12"/>
        <v>2005.7399999999998</v>
      </c>
      <c r="I91" s="94">
        <f t="shared" si="12"/>
        <v>2039.5399999999997</v>
      </c>
      <c r="J91" s="94">
        <f t="shared" si="12"/>
        <v>2088.54</v>
      </c>
      <c r="K91" s="94">
        <f t="shared" si="12"/>
        <v>2120.54</v>
      </c>
      <c r="L91" s="94">
        <f t="shared" si="12"/>
        <v>2133.54</v>
      </c>
      <c r="M91" s="94">
        <f t="shared" si="12"/>
        <v>2154.34</v>
      </c>
      <c r="N91" s="94">
        <f t="shared" si="12"/>
        <v>2207.64</v>
      </c>
      <c r="O91" s="94">
        <f t="shared" si="12"/>
        <v>2230.3399999999997</v>
      </c>
      <c r="P91" s="94">
        <f>P89+P90</f>
        <v>2207.8399999999997</v>
      </c>
      <c r="Q91" s="94">
        <f t="shared" si="12"/>
        <v>3.54</v>
      </c>
      <c r="R91" s="94">
        <f t="shared" si="12"/>
        <v>3.54</v>
      </c>
      <c r="S91" s="94">
        <f t="shared" si="12"/>
        <v>2244.64</v>
      </c>
      <c r="T91" s="94">
        <f>T89+T90</f>
        <v>2195.2399999999998</v>
      </c>
      <c r="U91" s="94">
        <f t="shared" si="12"/>
        <v>2187.1400000000003</v>
      </c>
      <c r="V91" s="94">
        <f t="shared" si="12"/>
        <v>2179.1400000000003</v>
      </c>
      <c r="W91" s="94">
        <f t="shared" si="12"/>
        <v>2150.6400000000003</v>
      </c>
      <c r="X91" s="94">
        <f t="shared" si="12"/>
        <v>2236.84</v>
      </c>
      <c r="Y91" s="94">
        <f t="shared" si="12"/>
        <v>2284.44</v>
      </c>
      <c r="Z91" s="94">
        <f t="shared" si="12"/>
        <v>2273.2399999999998</v>
      </c>
      <c r="AA91" s="94">
        <f t="shared" si="12"/>
        <v>2238.9399999999996</v>
      </c>
      <c r="AB91" s="94">
        <f>AB89+AB90</f>
        <v>2227.54</v>
      </c>
      <c r="AC91" s="94">
        <f>AC89+AC90</f>
        <v>2178.2399999999998</v>
      </c>
      <c r="AD91" s="94">
        <f>AD89+AD90</f>
        <v>2173.2399999999998</v>
      </c>
      <c r="AE91" s="94">
        <f>AE89+AE90</f>
        <v>2050.14</v>
      </c>
      <c r="AF91" s="94">
        <f>AF89+AF90</f>
        <v>2016.84</v>
      </c>
      <c r="AG91" s="87">
        <f>AG88+AG84+AG72+AG68+AG50+AG90</f>
        <v>1573.45</v>
      </c>
      <c r="AH91" s="47">
        <f t="shared" si="8"/>
        <v>2284.44</v>
      </c>
      <c r="AI91" s="48">
        <f t="shared" si="9"/>
        <v>3.54</v>
      </c>
    </row>
    <row r="92" spans="1:40" ht="15.75" thickBot="1" x14ac:dyDescent="0.3">
      <c r="A92" s="73" t="s">
        <v>103</v>
      </c>
      <c r="B92" s="94">
        <f>B91-(-B99)</f>
        <v>1441.9399999999996</v>
      </c>
      <c r="C92" s="94">
        <f t="shared" ref="C92:AA92" si="13">C91-(-C99)</f>
        <v>1427.0399999999997</v>
      </c>
      <c r="D92" s="94">
        <f t="shared" si="13"/>
        <v>1370.5399999999997</v>
      </c>
      <c r="E92" s="94">
        <f t="shared" si="13"/>
        <v>1433.5399999999997</v>
      </c>
      <c r="F92" s="94">
        <f t="shared" si="13"/>
        <v>1395.3399999999997</v>
      </c>
      <c r="G92" s="94">
        <f t="shared" si="13"/>
        <v>1396.4399999999998</v>
      </c>
      <c r="H92" s="94">
        <f t="shared" si="13"/>
        <v>1393.7399999999998</v>
      </c>
      <c r="I92" s="94">
        <f t="shared" si="13"/>
        <v>1419.5399999999997</v>
      </c>
      <c r="J92" s="94">
        <f t="shared" si="13"/>
        <v>1508.54</v>
      </c>
      <c r="K92" s="94">
        <f t="shared" si="13"/>
        <v>1540.54</v>
      </c>
      <c r="L92" s="94">
        <f t="shared" si="13"/>
        <v>1583.54</v>
      </c>
      <c r="M92" s="94">
        <f t="shared" si="13"/>
        <v>1588.64</v>
      </c>
      <c r="N92" s="94">
        <f t="shared" si="13"/>
        <v>1666.34</v>
      </c>
      <c r="O92" s="94">
        <f t="shared" si="13"/>
        <v>1711.8399999999997</v>
      </c>
      <c r="P92" s="94">
        <f>P91-(-P99)</f>
        <v>1679.6399999999996</v>
      </c>
      <c r="Q92" s="94">
        <f t="shared" si="13"/>
        <v>3.54</v>
      </c>
      <c r="R92" s="94">
        <f t="shared" si="13"/>
        <v>3.54</v>
      </c>
      <c r="S92" s="94">
        <f t="shared" si="13"/>
        <v>1722.34</v>
      </c>
      <c r="T92" s="94">
        <f>T91-(-T99)</f>
        <v>1693.2399999999998</v>
      </c>
      <c r="U92" s="94">
        <f t="shared" si="13"/>
        <v>1673.1400000000003</v>
      </c>
      <c r="V92" s="94">
        <f t="shared" si="13"/>
        <v>1622.1400000000003</v>
      </c>
      <c r="W92" s="94">
        <f t="shared" si="13"/>
        <v>1625.6400000000003</v>
      </c>
      <c r="X92" s="94">
        <f t="shared" si="13"/>
        <v>1689.8400000000001</v>
      </c>
      <c r="Y92" s="94">
        <f t="shared" si="13"/>
        <v>1756.44</v>
      </c>
      <c r="Z92" s="94">
        <f t="shared" si="13"/>
        <v>1740.2399999999998</v>
      </c>
      <c r="AA92" s="94">
        <f t="shared" si="13"/>
        <v>1740.9399999999996</v>
      </c>
      <c r="AB92" s="94">
        <f>AB91-(-AB99)</f>
        <v>1723.54</v>
      </c>
      <c r="AC92" s="94">
        <f>AC91-(-AC99)</f>
        <v>1645.2399999999998</v>
      </c>
      <c r="AD92" s="94">
        <f>AD91-(-AD99)</f>
        <v>1663.2399999999998</v>
      </c>
      <c r="AE92" s="94">
        <f>AE91-(-AE99)</f>
        <v>1490.1399999999999</v>
      </c>
      <c r="AF92" s="94">
        <f>AF91-(-AF99)</f>
        <v>1476.84</v>
      </c>
      <c r="AG92" s="87"/>
      <c r="AH92" s="47">
        <f t="shared" si="8"/>
        <v>1756.44</v>
      </c>
      <c r="AI92" s="48">
        <f t="shared" si="9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f>B75</f>
        <v>-586.6</v>
      </c>
      <c r="C99" s="60">
        <f t="shared" ref="C99:AA99" si="14">C75</f>
        <v>-601.5</v>
      </c>
      <c r="D99" s="60">
        <f t="shared" si="14"/>
        <v>-658</v>
      </c>
      <c r="E99" s="60">
        <f t="shared" si="14"/>
        <v>-595</v>
      </c>
      <c r="F99" s="60">
        <f t="shared" si="14"/>
        <v>-613</v>
      </c>
      <c r="G99" s="60">
        <f t="shared" si="14"/>
        <v>-609</v>
      </c>
      <c r="H99" s="60">
        <f t="shared" si="14"/>
        <v>-612</v>
      </c>
      <c r="I99" s="60">
        <f t="shared" si="14"/>
        <v>-620</v>
      </c>
      <c r="J99" s="60">
        <f t="shared" si="14"/>
        <v>-580</v>
      </c>
      <c r="K99" s="60">
        <f t="shared" si="14"/>
        <v>-580</v>
      </c>
      <c r="L99" s="60">
        <f t="shared" si="14"/>
        <v>-550</v>
      </c>
      <c r="M99" s="60">
        <f t="shared" si="14"/>
        <v>-565.70000000000005</v>
      </c>
      <c r="N99" s="60">
        <f t="shared" si="14"/>
        <v>-541.29999999999995</v>
      </c>
      <c r="O99" s="60">
        <f t="shared" si="14"/>
        <v>-518.5</v>
      </c>
      <c r="P99" s="60">
        <f>P75</f>
        <v>-528.20000000000005</v>
      </c>
      <c r="Q99" s="60">
        <f t="shared" si="14"/>
        <v>0</v>
      </c>
      <c r="R99" s="60">
        <f t="shared" si="14"/>
        <v>0</v>
      </c>
      <c r="S99" s="60">
        <f t="shared" si="14"/>
        <v>-522.29999999999995</v>
      </c>
      <c r="T99" s="60">
        <f>T75</f>
        <v>-502</v>
      </c>
      <c r="U99" s="60">
        <f t="shared" si="14"/>
        <v>-514</v>
      </c>
      <c r="V99" s="60">
        <f t="shared" si="14"/>
        <v>-557</v>
      </c>
      <c r="W99" s="60">
        <f t="shared" si="14"/>
        <v>-525</v>
      </c>
      <c r="X99" s="60">
        <f t="shared" si="14"/>
        <v>-547</v>
      </c>
      <c r="Y99" s="60">
        <f t="shared" si="14"/>
        <v>-528</v>
      </c>
      <c r="Z99" s="60">
        <f t="shared" si="14"/>
        <v>-533</v>
      </c>
      <c r="AA99" s="60">
        <f t="shared" si="14"/>
        <v>-498</v>
      </c>
      <c r="AB99" s="60">
        <f>AB75</f>
        <v>-504</v>
      </c>
      <c r="AC99" s="60">
        <f>AC75</f>
        <v>-533</v>
      </c>
      <c r="AD99" s="60">
        <f>AD75</f>
        <v>-510</v>
      </c>
      <c r="AE99" s="60">
        <f>AE75</f>
        <v>-560</v>
      </c>
      <c r="AF99" s="60">
        <f>AF75</f>
        <v>-540</v>
      </c>
      <c r="AG99" s="87"/>
      <c r="AH99" s="47">
        <f t="shared" si="8"/>
        <v>0</v>
      </c>
      <c r="AI99" s="48">
        <f t="shared" si="9"/>
        <v>-658</v>
      </c>
      <c r="AK99" s="50"/>
    </row>
    <row r="100" spans="1:37" ht="15.75" thickBot="1" x14ac:dyDescent="0.3">
      <c r="A100" s="73" t="s">
        <v>108</v>
      </c>
      <c r="B100" s="60">
        <f t="shared" ref="B100:AA100" si="15">B84-B99</f>
        <v>586.6</v>
      </c>
      <c r="C100" s="60">
        <f t="shared" si="15"/>
        <v>601.5</v>
      </c>
      <c r="D100" s="60">
        <f t="shared" si="15"/>
        <v>658</v>
      </c>
      <c r="E100" s="60">
        <f t="shared" si="15"/>
        <v>595</v>
      </c>
      <c r="F100" s="60">
        <f t="shared" si="15"/>
        <v>613</v>
      </c>
      <c r="G100" s="60">
        <f t="shared" si="15"/>
        <v>609</v>
      </c>
      <c r="H100" s="60">
        <f t="shared" si="15"/>
        <v>612</v>
      </c>
      <c r="I100" s="60">
        <f t="shared" si="15"/>
        <v>620</v>
      </c>
      <c r="J100" s="60">
        <f t="shared" si="15"/>
        <v>580</v>
      </c>
      <c r="K100" s="60">
        <f t="shared" si="15"/>
        <v>580</v>
      </c>
      <c r="L100" s="60">
        <f t="shared" si="15"/>
        <v>550</v>
      </c>
      <c r="M100" s="60">
        <f t="shared" si="15"/>
        <v>565.70000000000005</v>
      </c>
      <c r="N100" s="60">
        <f t="shared" si="15"/>
        <v>541.29999999999995</v>
      </c>
      <c r="O100" s="60">
        <f t="shared" si="15"/>
        <v>518.5</v>
      </c>
      <c r="P100" s="60">
        <f>P84-P99</f>
        <v>528.20000000000005</v>
      </c>
      <c r="Q100" s="60">
        <f t="shared" si="15"/>
        <v>0</v>
      </c>
      <c r="R100" s="60">
        <f t="shared" si="15"/>
        <v>0</v>
      </c>
      <c r="S100" s="60">
        <f t="shared" si="15"/>
        <v>540.4</v>
      </c>
      <c r="T100" s="60">
        <f>T84-T99</f>
        <v>502</v>
      </c>
      <c r="U100" s="60">
        <f t="shared" si="15"/>
        <v>514</v>
      </c>
      <c r="V100" s="60">
        <f t="shared" si="15"/>
        <v>557</v>
      </c>
      <c r="W100" s="60">
        <f t="shared" si="15"/>
        <v>525</v>
      </c>
      <c r="X100" s="60">
        <f t="shared" si="15"/>
        <v>547</v>
      </c>
      <c r="Y100" s="60">
        <f t="shared" si="15"/>
        <v>544.79999999999995</v>
      </c>
      <c r="Z100" s="60">
        <f t="shared" si="15"/>
        <v>565.29999999999995</v>
      </c>
      <c r="AA100" s="60">
        <f t="shared" si="15"/>
        <v>498</v>
      </c>
      <c r="AB100" s="60">
        <f>AB84-AB99</f>
        <v>504</v>
      </c>
      <c r="AC100" s="60">
        <f>AC84-AC99</f>
        <v>570</v>
      </c>
      <c r="AD100" s="60">
        <f>AD84-AD99</f>
        <v>547</v>
      </c>
      <c r="AE100" s="60">
        <f>AE84-AE99</f>
        <v>560</v>
      </c>
      <c r="AF100" s="60">
        <f>AF84-AF99</f>
        <v>540</v>
      </c>
      <c r="AG100" s="87"/>
      <c r="AH100" s="47">
        <f t="shared" si="8"/>
        <v>658</v>
      </c>
      <c r="AI100" s="48">
        <f t="shared" si="9"/>
        <v>0</v>
      </c>
    </row>
    <row r="101" spans="1:37" x14ac:dyDescent="0.25">
      <c r="A101" s="99" t="s">
        <v>109</v>
      </c>
      <c r="B101" s="100">
        <v>49.98</v>
      </c>
      <c r="C101" s="100">
        <v>49.98</v>
      </c>
      <c r="D101" s="100">
        <v>49.975000000000001</v>
      </c>
      <c r="E101" s="100">
        <v>49.97</v>
      </c>
      <c r="F101" s="100">
        <v>49.93</v>
      </c>
      <c r="G101" s="100">
        <v>49.98</v>
      </c>
      <c r="H101" s="100">
        <v>49.89</v>
      </c>
      <c r="I101" s="100">
        <v>49.88</v>
      </c>
      <c r="J101" s="100">
        <v>49.98</v>
      </c>
      <c r="K101" s="100">
        <v>50.01</v>
      </c>
      <c r="L101" s="100">
        <v>50.03</v>
      </c>
      <c r="M101" s="100">
        <v>49.968000000000004</v>
      </c>
      <c r="N101" s="100">
        <v>50.002000000000002</v>
      </c>
      <c r="O101" s="100">
        <v>50.006999999999998</v>
      </c>
      <c r="P101" s="100">
        <v>50.030999999999999</v>
      </c>
      <c r="Q101" s="100"/>
      <c r="R101" s="100"/>
      <c r="S101" s="100">
        <v>50.073</v>
      </c>
      <c r="T101" s="100">
        <v>49.826999999999998</v>
      </c>
      <c r="U101" s="100">
        <v>49.987000000000002</v>
      </c>
      <c r="V101" s="100">
        <v>49.9</v>
      </c>
      <c r="W101" s="100">
        <v>49.996000000000002</v>
      </c>
      <c r="X101" s="100">
        <v>49.976999999999997</v>
      </c>
      <c r="Y101" s="100">
        <v>49.923999999999999</v>
      </c>
      <c r="Z101" s="100">
        <v>50.018000000000001</v>
      </c>
      <c r="AA101" s="100">
        <v>50.058999999999997</v>
      </c>
      <c r="AB101" s="100">
        <v>49.94</v>
      </c>
      <c r="AC101" s="100">
        <v>50</v>
      </c>
      <c r="AD101" s="100">
        <v>50</v>
      </c>
      <c r="AE101" s="100">
        <v>50.03</v>
      </c>
      <c r="AF101" s="100">
        <v>50.055</v>
      </c>
      <c r="AG101" s="101"/>
      <c r="AH101" s="47">
        <f t="shared" si="8"/>
        <v>50.073</v>
      </c>
      <c r="AI101" s="48">
        <f t="shared" si="9"/>
        <v>49.826999999999998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130</v>
      </c>
      <c r="C103" s="64">
        <v>130</v>
      </c>
      <c r="D103" s="64">
        <v>130</v>
      </c>
      <c r="E103" s="64">
        <v>130.4</v>
      </c>
      <c r="F103" s="64">
        <v>130.69999999999999</v>
      </c>
      <c r="G103" s="64">
        <v>128</v>
      </c>
      <c r="H103" s="64">
        <v>127.8</v>
      </c>
      <c r="I103" s="64">
        <v>127.4</v>
      </c>
      <c r="J103" s="64">
        <v>126.9</v>
      </c>
      <c r="K103" s="64">
        <v>126.6</v>
      </c>
      <c r="L103" s="64">
        <v>126.4</v>
      </c>
      <c r="M103" s="64">
        <v>124.1</v>
      </c>
      <c r="N103" s="64">
        <v>124.9</v>
      </c>
      <c r="O103" s="64">
        <v>124.8</v>
      </c>
      <c r="P103" s="64">
        <v>125.1</v>
      </c>
      <c r="Q103" s="64"/>
      <c r="R103" s="64"/>
      <c r="S103" s="64">
        <v>126.3</v>
      </c>
      <c r="T103" s="64">
        <v>126.2</v>
      </c>
      <c r="U103" s="64">
        <v>127.3</v>
      </c>
      <c r="V103" s="64">
        <v>128.19999999999999</v>
      </c>
      <c r="W103" s="64">
        <v>128.1</v>
      </c>
      <c r="X103" s="64">
        <v>129.19999999999999</v>
      </c>
      <c r="Y103" s="64">
        <v>127.7</v>
      </c>
      <c r="Z103" s="64">
        <v>128</v>
      </c>
      <c r="AA103" s="64">
        <v>128.19999999999999</v>
      </c>
      <c r="AB103" s="64">
        <v>129.19999999999999</v>
      </c>
      <c r="AC103" s="64">
        <v>128</v>
      </c>
      <c r="AD103" s="64">
        <v>128</v>
      </c>
      <c r="AE103" s="64">
        <v>128</v>
      </c>
      <c r="AF103" s="64">
        <v>129</v>
      </c>
      <c r="AG103" s="103"/>
      <c r="AH103" s="47">
        <f t="shared" si="8"/>
        <v>130.69999999999999</v>
      </c>
      <c r="AI103" s="48">
        <f t="shared" si="9"/>
        <v>124.1</v>
      </c>
    </row>
    <row r="104" spans="1:37" x14ac:dyDescent="0.25">
      <c r="A104" s="102" t="s">
        <v>112</v>
      </c>
      <c r="B104" s="64">
        <v>130.1</v>
      </c>
      <c r="C104" s="64">
        <v>130.1</v>
      </c>
      <c r="D104" s="64">
        <v>130.1</v>
      </c>
      <c r="E104" s="64">
        <v>130.1</v>
      </c>
      <c r="F104" s="64">
        <v>130.19999999999999</v>
      </c>
      <c r="G104" s="64">
        <v>127.8</v>
      </c>
      <c r="H104" s="64">
        <v>127.8</v>
      </c>
      <c r="I104" s="64">
        <v>126.9</v>
      </c>
      <c r="J104" s="64">
        <v>127.3</v>
      </c>
      <c r="K104" s="64">
        <v>127.6</v>
      </c>
      <c r="L104" s="64">
        <v>127.5</v>
      </c>
      <c r="M104" s="64">
        <v>125.1</v>
      </c>
      <c r="N104" s="64">
        <v>126.6</v>
      </c>
      <c r="O104" s="64">
        <v>126.8</v>
      </c>
      <c r="P104" s="64">
        <v>127.1</v>
      </c>
      <c r="Q104" s="64"/>
      <c r="R104" s="64"/>
      <c r="S104" s="64">
        <v>127.3</v>
      </c>
      <c r="T104" s="64">
        <v>126</v>
      </c>
      <c r="U104" s="64">
        <v>128.5</v>
      </c>
      <c r="V104" s="64">
        <v>128.69999999999999</v>
      </c>
      <c r="W104" s="64">
        <v>128</v>
      </c>
      <c r="X104" s="64">
        <v>125.9</v>
      </c>
      <c r="Y104" s="64">
        <v>126.2</v>
      </c>
      <c r="Z104" s="64">
        <v>126.5</v>
      </c>
      <c r="AA104" s="64">
        <v>127.4</v>
      </c>
      <c r="AB104" s="64">
        <v>130.5</v>
      </c>
      <c r="AC104" s="64">
        <v>130</v>
      </c>
      <c r="AD104" s="64">
        <v>130</v>
      </c>
      <c r="AE104" s="64">
        <v>130</v>
      </c>
      <c r="AF104" s="64">
        <v>129</v>
      </c>
      <c r="AG104" s="103"/>
      <c r="AH104" s="47">
        <f t="shared" si="8"/>
        <v>130.5</v>
      </c>
      <c r="AI104" s="48">
        <f t="shared" si="9"/>
        <v>125.1</v>
      </c>
    </row>
    <row r="105" spans="1:37" x14ac:dyDescent="0.25">
      <c r="A105" s="104" t="s">
        <v>113</v>
      </c>
      <c r="B105" s="64">
        <v>133.6</v>
      </c>
      <c r="C105" s="64">
        <v>133.6</v>
      </c>
      <c r="D105" s="64">
        <v>133.6</v>
      </c>
      <c r="E105" s="64">
        <v>133.6</v>
      </c>
      <c r="F105" s="64">
        <v>132.6</v>
      </c>
      <c r="G105" s="64">
        <v>130.69999999999999</v>
      </c>
      <c r="H105" s="64">
        <v>130.69999999999999</v>
      </c>
      <c r="I105" s="64">
        <v>130.69999999999999</v>
      </c>
      <c r="J105" s="64">
        <v>130.69999999999999</v>
      </c>
      <c r="K105" s="64">
        <v>130.6</v>
      </c>
      <c r="L105" s="64">
        <v>130.4</v>
      </c>
      <c r="M105" s="64">
        <v>128.80000000000001</v>
      </c>
      <c r="N105" s="64">
        <v>129.80000000000001</v>
      </c>
      <c r="O105" s="64">
        <v>129.69999999999999</v>
      </c>
      <c r="P105" s="64">
        <v>129.69999999999999</v>
      </c>
      <c r="Q105" s="64"/>
      <c r="R105" s="64"/>
      <c r="S105" s="64">
        <v>131.4</v>
      </c>
      <c r="T105" s="64">
        <v>128.80000000000001</v>
      </c>
      <c r="U105" s="64">
        <v>130.80000000000001</v>
      </c>
      <c r="V105" s="64">
        <v>131.5</v>
      </c>
      <c r="W105" s="64">
        <v>131.4</v>
      </c>
      <c r="X105" s="64">
        <v>129.69999999999999</v>
      </c>
      <c r="Y105" s="64">
        <v>130.4</v>
      </c>
      <c r="Z105" s="64">
        <v>130.4</v>
      </c>
      <c r="AA105" s="64">
        <v>130</v>
      </c>
      <c r="AB105" s="64">
        <v>133.9</v>
      </c>
      <c r="AC105" s="64">
        <v>134</v>
      </c>
      <c r="AD105" s="64">
        <v>134</v>
      </c>
      <c r="AE105" s="64">
        <v>132</v>
      </c>
      <c r="AF105" s="64">
        <v>132</v>
      </c>
      <c r="AG105" s="103"/>
      <c r="AH105" s="47">
        <f t="shared" si="8"/>
        <v>134</v>
      </c>
      <c r="AI105" s="48">
        <f t="shared" si="9"/>
        <v>128.80000000000001</v>
      </c>
    </row>
    <row r="106" spans="1:37" x14ac:dyDescent="0.25">
      <c r="A106" s="104" t="s">
        <v>114</v>
      </c>
      <c r="B106" s="105">
        <v>131.30000000000001</v>
      </c>
      <c r="C106" s="105">
        <v>131.30000000000001</v>
      </c>
      <c r="D106" s="105">
        <v>131.30000000000001</v>
      </c>
      <c r="E106" s="105">
        <v>132.19999999999999</v>
      </c>
      <c r="F106" s="105">
        <v>133.30000000000001</v>
      </c>
      <c r="G106" s="105">
        <v>130.5</v>
      </c>
      <c r="H106" s="105">
        <v>130.5</v>
      </c>
      <c r="I106" s="105">
        <v>130.5</v>
      </c>
      <c r="J106" s="105">
        <v>130.5</v>
      </c>
      <c r="K106" s="105">
        <v>131.80000000000001</v>
      </c>
      <c r="L106" s="105">
        <v>132.80000000000001</v>
      </c>
      <c r="M106" s="105">
        <v>132.1</v>
      </c>
      <c r="N106" s="105">
        <v>132.1</v>
      </c>
      <c r="O106" s="105">
        <v>132.1</v>
      </c>
      <c r="P106" s="105">
        <v>132.19999999999999</v>
      </c>
      <c r="Q106" s="105"/>
      <c r="R106" s="105"/>
      <c r="S106" s="105">
        <v>135.1</v>
      </c>
      <c r="T106" s="105">
        <v>133.30000000000001</v>
      </c>
      <c r="U106" s="105">
        <v>133</v>
      </c>
      <c r="V106" s="105">
        <v>134.30000000000001</v>
      </c>
      <c r="W106" s="105">
        <v>136.80000000000001</v>
      </c>
      <c r="X106" s="105">
        <v>133.6</v>
      </c>
      <c r="Y106" s="105">
        <v>134.9</v>
      </c>
      <c r="Z106" s="105">
        <v>132</v>
      </c>
      <c r="AA106" s="105">
        <v>135.1</v>
      </c>
      <c r="AB106" s="105">
        <v>134.6</v>
      </c>
      <c r="AC106" s="105">
        <v>132.9</v>
      </c>
      <c r="AD106" s="105">
        <v>132.9</v>
      </c>
      <c r="AE106" s="105">
        <v>133</v>
      </c>
      <c r="AF106" s="105">
        <v>130</v>
      </c>
      <c r="AG106" s="106"/>
      <c r="AH106" s="47">
        <f t="shared" si="8"/>
        <v>136.80000000000001</v>
      </c>
      <c r="AI106" s="48">
        <f t="shared" si="9"/>
        <v>130</v>
      </c>
    </row>
    <row r="107" spans="1:37" x14ac:dyDescent="0.25">
      <c r="A107" s="102" t="s">
        <v>115</v>
      </c>
      <c r="B107" s="64">
        <v>132.80000000000001</v>
      </c>
      <c r="C107" s="64">
        <v>132.80000000000001</v>
      </c>
      <c r="D107" s="64">
        <v>132.80000000000001</v>
      </c>
      <c r="E107" s="64">
        <v>132.80000000000001</v>
      </c>
      <c r="F107" s="64">
        <v>133.19999999999999</v>
      </c>
      <c r="G107" s="64">
        <v>130.80000000000001</v>
      </c>
      <c r="H107" s="64">
        <v>130.80000000000001</v>
      </c>
      <c r="I107" s="64">
        <v>131.19999999999999</v>
      </c>
      <c r="J107" s="64">
        <v>131.6</v>
      </c>
      <c r="K107" s="64">
        <v>132</v>
      </c>
      <c r="L107" s="64">
        <v>134</v>
      </c>
      <c r="M107" s="64">
        <v>135.4</v>
      </c>
      <c r="N107" s="64">
        <v>135.69999999999999</v>
      </c>
      <c r="O107" s="64">
        <v>128</v>
      </c>
      <c r="P107" s="64">
        <v>128.1</v>
      </c>
      <c r="Q107" s="64"/>
      <c r="R107" s="64"/>
      <c r="S107" s="64">
        <v>132.1</v>
      </c>
      <c r="T107" s="64">
        <v>130.69999999999999</v>
      </c>
      <c r="U107" s="64">
        <v>136.30000000000001</v>
      </c>
      <c r="V107" s="64">
        <v>134.6</v>
      </c>
      <c r="W107" s="64">
        <v>137.4</v>
      </c>
      <c r="X107" s="64">
        <v>133.5</v>
      </c>
      <c r="Y107" s="64">
        <v>129.5</v>
      </c>
      <c r="Z107" s="64">
        <v>131.1</v>
      </c>
      <c r="AA107" s="64">
        <v>136</v>
      </c>
      <c r="AB107" s="64">
        <v>125.6</v>
      </c>
      <c r="AC107" s="64">
        <v>130</v>
      </c>
      <c r="AD107" s="64">
        <v>130</v>
      </c>
      <c r="AE107" s="64">
        <v>135</v>
      </c>
      <c r="AF107" s="64">
        <v>133</v>
      </c>
      <c r="AG107" s="103"/>
      <c r="AH107" s="47">
        <f t="shared" si="8"/>
        <v>137.4</v>
      </c>
      <c r="AI107" s="48">
        <f t="shared" si="9"/>
        <v>125.6</v>
      </c>
    </row>
    <row r="108" spans="1:37" ht="15.75" thickBot="1" x14ac:dyDescent="0.3">
      <c r="A108" s="102" t="s">
        <v>116</v>
      </c>
      <c r="B108" s="91">
        <v>65.8</v>
      </c>
      <c r="C108" s="91">
        <v>65.8</v>
      </c>
      <c r="D108" s="91">
        <v>65.8</v>
      </c>
      <c r="E108" s="91">
        <v>65.8</v>
      </c>
      <c r="F108" s="91">
        <v>66</v>
      </c>
      <c r="G108" s="91">
        <v>64.5</v>
      </c>
      <c r="H108" s="91">
        <v>64.5</v>
      </c>
      <c r="I108" s="91">
        <v>64</v>
      </c>
      <c r="J108" s="91">
        <v>64.099999999999994</v>
      </c>
      <c r="K108" s="91">
        <v>63.6</v>
      </c>
      <c r="L108" s="91">
        <v>63.7</v>
      </c>
      <c r="M108" s="91">
        <v>62.6</v>
      </c>
      <c r="N108" s="91">
        <v>63.4</v>
      </c>
      <c r="O108" s="91">
        <v>63</v>
      </c>
      <c r="P108" s="91">
        <v>63.1</v>
      </c>
      <c r="Q108" s="91"/>
      <c r="R108" s="91"/>
      <c r="S108" s="91">
        <v>63.2</v>
      </c>
      <c r="T108" s="91">
        <v>63.4</v>
      </c>
      <c r="U108" s="91">
        <v>64</v>
      </c>
      <c r="V108" s="91">
        <v>64.400000000000006</v>
      </c>
      <c r="W108" s="91">
        <v>64.400000000000006</v>
      </c>
      <c r="X108" s="91">
        <v>65.2</v>
      </c>
      <c r="Y108" s="91">
        <v>64.400000000000006</v>
      </c>
      <c r="Z108" s="91">
        <v>64.5</v>
      </c>
      <c r="AA108" s="91">
        <v>65.099999999999994</v>
      </c>
      <c r="AB108" s="91">
        <v>65.099999999999994</v>
      </c>
      <c r="AC108" s="91">
        <v>65</v>
      </c>
      <c r="AD108" s="91">
        <v>65</v>
      </c>
      <c r="AE108" s="91">
        <v>65</v>
      </c>
      <c r="AF108" s="91">
        <v>65</v>
      </c>
      <c r="AG108" s="107"/>
      <c r="AH108" s="47">
        <f t="shared" si="8"/>
        <v>66</v>
      </c>
      <c r="AI108" s="48">
        <f t="shared" si="9"/>
        <v>62.6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 t="shared" ref="B110:O110" si="16">SUM(B20,B26,B29:B30,B58,B60:B61,B63,B65,B111:B115,B138,B144,B150,B159,B161,B173,B180,B183:B184,B191,B193,B195,B199:B201,B203:B205,B210,B216:B217,B219:B221,B229,B234)</f>
        <v>47.100000000000009</v>
      </c>
      <c r="C110" s="110">
        <f t="shared" si="16"/>
        <v>48.139999999999993</v>
      </c>
      <c r="D110" s="110">
        <f t="shared" si="16"/>
        <v>43.44</v>
      </c>
      <c r="E110" s="110">
        <f t="shared" si="16"/>
        <v>61.439999999999984</v>
      </c>
      <c r="F110" s="110">
        <f t="shared" si="16"/>
        <v>62.339999999999989</v>
      </c>
      <c r="G110" s="110">
        <f t="shared" si="16"/>
        <v>65.339999999999989</v>
      </c>
      <c r="H110" s="110">
        <f t="shared" si="16"/>
        <v>77.339999999999989</v>
      </c>
      <c r="I110" s="110">
        <f t="shared" si="16"/>
        <v>82.439999999999984</v>
      </c>
      <c r="J110" s="110">
        <f t="shared" si="16"/>
        <v>97.439999999999984</v>
      </c>
      <c r="K110" s="110">
        <f t="shared" si="16"/>
        <v>107.43999999999998</v>
      </c>
      <c r="L110" s="110">
        <f t="shared" si="16"/>
        <v>201.64</v>
      </c>
      <c r="M110" s="110">
        <f t="shared" si="16"/>
        <v>209.34</v>
      </c>
      <c r="N110" s="110">
        <f t="shared" si="16"/>
        <v>206.74</v>
      </c>
      <c r="O110" s="110">
        <f t="shared" si="16"/>
        <v>222.44000000000003</v>
      </c>
      <c r="P110" s="110">
        <f>SUM(P20,P26,P29:P30,P58,P60:P61,P63,P65,P111:P115,P138,P144,P150,P159,P161,P173,P180,P183:P184,P191,P193,P195,P199:P201,P203:P205,P210,P216:P217,P219:P221,P229,P234)</f>
        <v>228.54000000000005</v>
      </c>
      <c r="Q110" s="110">
        <f t="shared" ref="Q110:AA110" si="17">SUM(Q20,Q26,Q29:Q30,Q58,Q60:Q61,Q63,Q65,Q111:Q115,Q138,Q144,Q150,Q159,Q161,Q173,Q180,Q183:Q184,Q191,Q193,Q195,Q199:Q201,Q203:Q205,Q210,Q216:Q217,Q219:Q221,Q229,Q234)</f>
        <v>0</v>
      </c>
      <c r="R110" s="110">
        <f t="shared" si="17"/>
        <v>0</v>
      </c>
      <c r="S110" s="110">
        <f t="shared" si="17"/>
        <v>311.8</v>
      </c>
      <c r="T110" s="110">
        <f>SUM(T20,T26,T29:T30,T58,T60:T61,T63,T65,T111:T115,T138,T144,T150,T159,T161,T173,T180,T183:T184,T191,T193,T195,T199:T201,T203:T205,T210,T216:T217,T219:T221,T229,T234)</f>
        <v>241.5</v>
      </c>
      <c r="U110" s="110">
        <f t="shared" si="17"/>
        <v>227.10000000000002</v>
      </c>
      <c r="V110" s="110">
        <f t="shared" si="17"/>
        <v>220</v>
      </c>
      <c r="W110" s="110">
        <f t="shared" si="17"/>
        <v>212.89999999999998</v>
      </c>
      <c r="X110" s="110">
        <f t="shared" si="17"/>
        <v>269.5</v>
      </c>
      <c r="Y110" s="110">
        <f t="shared" si="17"/>
        <v>295</v>
      </c>
      <c r="Z110" s="110">
        <f t="shared" si="17"/>
        <v>298</v>
      </c>
      <c r="AA110" s="110">
        <f t="shared" si="17"/>
        <v>249.10000000000002</v>
      </c>
      <c r="AB110" s="110">
        <f>SUM(AB20,AB26,AB29:AB30,AB58,AB60:AB61,AB63,AB65,AB111:AB115,AB138,AB144,AB150,AB159,AB161,AB173,AB180,AB183:AB184,AB191,AB193,AB195,AB199:AB201,AB203:AB205,AB210,AB216:AB217,AB219:AB221,AB229,AB234)</f>
        <v>185.1</v>
      </c>
      <c r="AC110" s="110">
        <f>SUM(AC20,AC26,AC29:AC30,AC58,AC60:AC61,AC63,AC65,AC111:AC115,AC138,AC144,AC150,AC159,AC161,AC173,AC180,AC183:AC184,AC191,AC193,AC195,AC199:AC201,AC203:AC205,AC210,AC216:AC217,AC219:AC221,AC229,AC234)</f>
        <v>156.9</v>
      </c>
      <c r="AD110" s="110">
        <f>SUM(AD20,AD26,AD29:AD30,AD58,AD60:AD61,AD63,AD65,AD111:AD115,AD138,AD144,AD150,AD159,AD161,AD173,AD180,AD183:AD184,AD191,AD193,AD195,AD199:AD201,AD203:AD205,AD210,AD216:AD217,AD219:AD221,AD229,AD234)</f>
        <v>89</v>
      </c>
      <c r="AE110" s="110">
        <f>SUM(AE20,AE26,AE29:AE30,AE58,AE60:AE61,AE63,AE65,AE111:AE115,AE138,AE144,AE150,AE159,AE161,AE173,AE180,AE183:AE184,AE191,AE193,AE195,AE199:AE201,AE203:AE205,AE210,AE216:AE217,AE219:AE221,AE229,AE234)</f>
        <v>57</v>
      </c>
      <c r="AF110" s="110">
        <f>SUM(AF20,AF26,AF29:AF30,AF58,AF60:AF61,AF63,AF65,AF111:AF115,AF138,AF144,AF150,AF159,AF161,AF173,AF180,AF183:AF184,AF191,AF193,AF195,AF199:AF201,AF203:AF205,AF210,AF216:AF217,AF219:AF221,AF229,AF234)</f>
        <v>41</v>
      </c>
      <c r="AG110" s="111"/>
      <c r="AH110" s="47">
        <f t="shared" si="8"/>
        <v>311.8</v>
      </c>
      <c r="AI110" s="48">
        <f t="shared" si="9"/>
        <v>0</v>
      </c>
    </row>
    <row r="111" spans="1:37" x14ac:dyDescent="0.25">
      <c r="A111" s="99" t="s">
        <v>119</v>
      </c>
      <c r="B111" s="112">
        <v>18.899999999999999</v>
      </c>
      <c r="C111" s="112">
        <v>19.100000000000001</v>
      </c>
      <c r="D111" s="112">
        <v>24.5</v>
      </c>
      <c r="E111" s="112">
        <v>13.2</v>
      </c>
      <c r="F111" s="112">
        <v>13.1</v>
      </c>
      <c r="G111" s="112">
        <v>14.6</v>
      </c>
      <c r="H111" s="112">
        <v>26</v>
      </c>
      <c r="I111" s="112">
        <v>26</v>
      </c>
      <c r="J111" s="112">
        <v>26</v>
      </c>
      <c r="K111" s="112">
        <v>26</v>
      </c>
      <c r="L111" s="112">
        <v>48.1</v>
      </c>
      <c r="M111" s="112">
        <v>54.8</v>
      </c>
      <c r="N111" s="112">
        <v>50.7</v>
      </c>
      <c r="O111" s="112">
        <v>52</v>
      </c>
      <c r="P111" s="112">
        <v>56.4</v>
      </c>
      <c r="Q111" s="112"/>
      <c r="R111" s="112"/>
      <c r="S111" s="112">
        <v>43.4</v>
      </c>
      <c r="T111" s="112">
        <v>45.1</v>
      </c>
      <c r="U111" s="112">
        <v>39.4</v>
      </c>
      <c r="V111" s="112">
        <v>47.6</v>
      </c>
      <c r="W111" s="112">
        <v>43</v>
      </c>
      <c r="X111" s="112">
        <v>60.5</v>
      </c>
      <c r="Y111" s="112">
        <v>67</v>
      </c>
      <c r="Z111" s="112">
        <v>67.2</v>
      </c>
      <c r="AA111" s="112">
        <v>62.2</v>
      </c>
      <c r="AB111" s="112">
        <v>53.5</v>
      </c>
      <c r="AC111" s="112">
        <v>52</v>
      </c>
      <c r="AD111" s="112">
        <v>34</v>
      </c>
      <c r="AE111" s="112">
        <v>34</v>
      </c>
      <c r="AF111" s="112">
        <v>26</v>
      </c>
      <c r="AG111" s="113">
        <v>75</v>
      </c>
      <c r="AH111" s="47">
        <f t="shared" si="8"/>
        <v>67.2</v>
      </c>
      <c r="AI111" s="48">
        <f t="shared" si="9"/>
        <v>13.1</v>
      </c>
    </row>
    <row r="112" spans="1:37" x14ac:dyDescent="0.25">
      <c r="A112" s="102" t="s">
        <v>120</v>
      </c>
      <c r="B112" s="114">
        <v>28.8</v>
      </c>
      <c r="C112" s="114">
        <v>28.9</v>
      </c>
      <c r="D112" s="114">
        <v>36.4</v>
      </c>
      <c r="E112" s="114">
        <v>19.899999999999999</v>
      </c>
      <c r="F112" s="114">
        <v>19</v>
      </c>
      <c r="G112" s="114">
        <v>21.4</v>
      </c>
      <c r="H112" s="114">
        <v>35.5</v>
      </c>
      <c r="I112" s="114">
        <v>35.5</v>
      </c>
      <c r="J112" s="114">
        <v>35.5</v>
      </c>
      <c r="K112" s="114">
        <v>35.5</v>
      </c>
      <c r="L112" s="114">
        <v>71.900000000000006</v>
      </c>
      <c r="M112" s="114">
        <v>82.8</v>
      </c>
      <c r="N112" s="114">
        <v>77.2</v>
      </c>
      <c r="O112" s="114">
        <v>84.4</v>
      </c>
      <c r="P112" s="114">
        <v>84.4</v>
      </c>
      <c r="Q112" s="114"/>
      <c r="R112" s="114"/>
      <c r="S112" s="114">
        <v>54.2</v>
      </c>
      <c r="T112" s="114">
        <v>66.2</v>
      </c>
      <c r="U112" s="114">
        <v>58.7</v>
      </c>
      <c r="V112" s="114">
        <v>67.900000000000006</v>
      </c>
      <c r="W112" s="114">
        <v>58.5</v>
      </c>
      <c r="X112" s="114">
        <v>87</v>
      </c>
      <c r="Y112" s="114">
        <v>93.6</v>
      </c>
      <c r="Z112" s="114">
        <v>94</v>
      </c>
      <c r="AA112" s="114">
        <v>88.5</v>
      </c>
      <c r="AB112" s="114">
        <v>75.3</v>
      </c>
      <c r="AC112" s="114">
        <v>73</v>
      </c>
      <c r="AD112" s="114">
        <v>45</v>
      </c>
      <c r="AE112" s="114">
        <v>46</v>
      </c>
      <c r="AF112" s="114">
        <v>38</v>
      </c>
      <c r="AG112" s="113">
        <v>240</v>
      </c>
      <c r="AH112" s="47">
        <f t="shared" si="8"/>
        <v>94</v>
      </c>
      <c r="AI112" s="48">
        <f t="shared" si="9"/>
        <v>19</v>
      </c>
    </row>
    <row r="113" spans="1:37" x14ac:dyDescent="0.25">
      <c r="A113" s="102" t="s">
        <v>121</v>
      </c>
      <c r="B113" s="114">
        <v>-138</v>
      </c>
      <c r="C113" s="114">
        <v>-136</v>
      </c>
      <c r="D113" s="114">
        <v>-152</v>
      </c>
      <c r="E113" s="114">
        <f>-53-57.5</f>
        <v>-110.5</v>
      </c>
      <c r="F113" s="114">
        <f>-52.4-56.7</f>
        <v>-109.1</v>
      </c>
      <c r="G113" s="114">
        <v>-110</v>
      </c>
      <c r="H113" s="114">
        <f>-59.9-65</f>
        <v>-124.9</v>
      </c>
      <c r="I113" s="114">
        <f>-59.9-65</f>
        <v>-124.9</v>
      </c>
      <c r="J113" s="114">
        <f>-59.9-65</f>
        <v>-124.9</v>
      </c>
      <c r="K113" s="114">
        <f>-59.9-65</f>
        <v>-124.9</v>
      </c>
      <c r="L113" s="114">
        <f>-49.9-45.6</f>
        <v>-95.5</v>
      </c>
      <c r="M113" s="114">
        <f>-49-54</f>
        <v>-103</v>
      </c>
      <c r="N113" s="114">
        <f>-52-60</f>
        <v>-112</v>
      </c>
      <c r="O113" s="114">
        <f>-50-60</f>
        <v>-110</v>
      </c>
      <c r="P113" s="114">
        <f>-52-59</f>
        <v>-111</v>
      </c>
      <c r="Q113" s="114"/>
      <c r="R113" s="114"/>
      <c r="S113" s="114">
        <v>-28</v>
      </c>
      <c r="T113" s="114">
        <v>-85</v>
      </c>
      <c r="U113" s="114">
        <v>-78</v>
      </c>
      <c r="V113" s="114">
        <v>-91</v>
      </c>
      <c r="W113" s="114">
        <v>-82</v>
      </c>
      <c r="X113" s="114">
        <v>-88</v>
      </c>
      <c r="Y113" s="114">
        <v>-89</v>
      </c>
      <c r="Z113" s="114">
        <v>-87</v>
      </c>
      <c r="AA113" s="114">
        <v>-117</v>
      </c>
      <c r="AB113" s="114">
        <v>-149</v>
      </c>
      <c r="AC113" s="114">
        <v>-149</v>
      </c>
      <c r="AD113" s="114">
        <v>-150</v>
      </c>
      <c r="AE113" s="114">
        <v>-165</v>
      </c>
      <c r="AF113" s="114">
        <v>-165</v>
      </c>
      <c r="AG113" s="113">
        <v>240</v>
      </c>
      <c r="AH113" s="47">
        <f t="shared" si="8"/>
        <v>-28</v>
      </c>
      <c r="AI113" s="48">
        <f t="shared" si="9"/>
        <v>-165</v>
      </c>
    </row>
    <row r="114" spans="1:37" x14ac:dyDescent="0.25">
      <c r="A114" s="102" t="s">
        <v>122</v>
      </c>
      <c r="B114" s="114">
        <v>-11.7</v>
      </c>
      <c r="C114" s="114">
        <v>-13.9</v>
      </c>
      <c r="D114" s="114">
        <v>-15.5</v>
      </c>
      <c r="E114" s="114">
        <v>-11.2</v>
      </c>
      <c r="F114" s="114">
        <v>-10.7</v>
      </c>
      <c r="G114" s="114">
        <v>-10.7</v>
      </c>
      <c r="H114" s="114">
        <v>-9.3000000000000007</v>
      </c>
      <c r="I114" s="114">
        <v>-9.3000000000000007</v>
      </c>
      <c r="J114" s="114">
        <v>-9.3000000000000007</v>
      </c>
      <c r="K114" s="114">
        <v>-9.3000000000000007</v>
      </c>
      <c r="L114" s="114">
        <v>-3</v>
      </c>
      <c r="M114" s="114">
        <v>-10.4</v>
      </c>
      <c r="N114" s="114">
        <v>0</v>
      </c>
      <c r="O114" s="114">
        <v>-1.6</v>
      </c>
      <c r="P114" s="114">
        <v>0.9</v>
      </c>
      <c r="Q114" s="114"/>
      <c r="R114" s="114"/>
      <c r="S114" s="114">
        <v>45.3</v>
      </c>
      <c r="T114" s="114">
        <v>25.3</v>
      </c>
      <c r="U114" s="114">
        <v>20.3</v>
      </c>
      <c r="V114" s="114">
        <v>10</v>
      </c>
      <c r="W114" s="114">
        <v>19</v>
      </c>
      <c r="X114" s="114">
        <v>25.6</v>
      </c>
      <c r="Y114" s="114">
        <v>39</v>
      </c>
      <c r="Z114" s="114">
        <v>39.4</v>
      </c>
      <c r="AA114" s="114">
        <v>31</v>
      </c>
      <c r="AB114" s="114">
        <v>20.9</v>
      </c>
      <c r="AC114" s="114">
        <v>20.9</v>
      </c>
      <c r="AD114" s="114">
        <v>0</v>
      </c>
      <c r="AE114" s="114">
        <v>-3</v>
      </c>
      <c r="AF114" s="114">
        <v>-3</v>
      </c>
      <c r="AG114" s="113">
        <v>60</v>
      </c>
      <c r="AH114" s="47">
        <f t="shared" si="8"/>
        <v>45.3</v>
      </c>
      <c r="AI114" s="48">
        <f t="shared" si="9"/>
        <v>-15.5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/>
      <c r="R115" s="116"/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8"/>
        <v>0</v>
      </c>
      <c r="AI115" s="48">
        <f t="shared" si="9"/>
        <v>0</v>
      </c>
    </row>
    <row r="116" spans="1:37" x14ac:dyDescent="0.25">
      <c r="A116" s="115" t="s">
        <v>124</v>
      </c>
      <c r="B116" s="116">
        <v>14.5</v>
      </c>
      <c r="C116" s="116">
        <v>19.899999999999999</v>
      </c>
      <c r="D116" s="116">
        <v>24.4</v>
      </c>
      <c r="E116" s="116">
        <v>45.5</v>
      </c>
      <c r="F116" s="116">
        <v>45.4</v>
      </c>
      <c r="G116" s="116">
        <v>45.4</v>
      </c>
      <c r="H116" s="116">
        <v>24.7</v>
      </c>
      <c r="I116" s="116">
        <v>24.7</v>
      </c>
      <c r="J116" s="116">
        <v>24.7</v>
      </c>
      <c r="K116" s="116">
        <v>24.7</v>
      </c>
      <c r="L116" s="116">
        <v>26.5</v>
      </c>
      <c r="M116" s="116">
        <v>44.5</v>
      </c>
      <c r="N116" s="116">
        <v>50.7</v>
      </c>
      <c r="O116" s="116">
        <v>66</v>
      </c>
      <c r="P116" s="116">
        <v>60.6</v>
      </c>
      <c r="Q116" s="116"/>
      <c r="R116" s="116"/>
      <c r="S116" s="116">
        <v>60.3</v>
      </c>
      <c r="T116" s="116">
        <v>56.2</v>
      </c>
      <c r="U116" s="116">
        <v>72.5</v>
      </c>
      <c r="V116" s="116">
        <v>41.2</v>
      </c>
      <c r="W116" s="116">
        <v>69</v>
      </c>
      <c r="X116" s="116">
        <v>26.5</v>
      </c>
      <c r="Y116" s="116">
        <v>28.2</v>
      </c>
      <c r="Z116" s="116">
        <v>24</v>
      </c>
      <c r="AA116" s="116">
        <v>55.4</v>
      </c>
      <c r="AB116" s="116">
        <v>41.4</v>
      </c>
      <c r="AC116" s="116">
        <v>41.4</v>
      </c>
      <c r="AD116" s="116">
        <v>46</v>
      </c>
      <c r="AE116" s="116">
        <v>50</v>
      </c>
      <c r="AF116" s="116">
        <v>53</v>
      </c>
      <c r="AG116" s="117"/>
      <c r="AH116" s="47">
        <f t="shared" si="8"/>
        <v>72.5</v>
      </c>
      <c r="AI116" s="48">
        <f t="shared" si="9"/>
        <v>14.5</v>
      </c>
    </row>
    <row r="117" spans="1:37" x14ac:dyDescent="0.25">
      <c r="A117" s="115" t="s">
        <v>125</v>
      </c>
      <c r="B117" s="116">
        <v>-6.4</v>
      </c>
      <c r="C117" s="116">
        <v>-5.4</v>
      </c>
      <c r="D117" s="116">
        <v>-19.399999999999999</v>
      </c>
      <c r="E117" s="116">
        <v>-8.6999999999999993</v>
      </c>
      <c r="F117" s="116">
        <v>-4.3</v>
      </c>
      <c r="G117" s="116">
        <v>-4.3</v>
      </c>
      <c r="H117" s="116">
        <v>-20</v>
      </c>
      <c r="I117" s="116">
        <v>-20</v>
      </c>
      <c r="J117" s="116">
        <v>-20</v>
      </c>
      <c r="K117" s="116">
        <v>-20</v>
      </c>
      <c r="L117" s="116">
        <v>-20</v>
      </c>
      <c r="M117" s="116">
        <v>-24.2</v>
      </c>
      <c r="N117" s="116">
        <v>-16.2</v>
      </c>
      <c r="O117" s="116">
        <v>-30</v>
      </c>
      <c r="P117" s="116">
        <v>-32</v>
      </c>
      <c r="Q117" s="116"/>
      <c r="R117" s="116"/>
      <c r="S117" s="116">
        <v>0</v>
      </c>
      <c r="T117" s="116">
        <v>-11.6</v>
      </c>
      <c r="U117" s="116">
        <v>2.1</v>
      </c>
      <c r="V117" s="116">
        <v>-9</v>
      </c>
      <c r="W117" s="116">
        <v>-24</v>
      </c>
      <c r="X117" s="116">
        <v>-12.5</v>
      </c>
      <c r="Y117" s="116">
        <v>-58</v>
      </c>
      <c r="Z117" s="116">
        <v>-59</v>
      </c>
      <c r="AA117" s="116">
        <v>-32</v>
      </c>
      <c r="AB117" s="116">
        <v>-43</v>
      </c>
      <c r="AC117" s="116">
        <v>-43</v>
      </c>
      <c r="AD117" s="116">
        <v>34</v>
      </c>
      <c r="AE117" s="116">
        <v>-37</v>
      </c>
      <c r="AF117" s="116">
        <v>-28</v>
      </c>
      <c r="AG117" s="118"/>
      <c r="AH117" s="47">
        <f t="shared" si="8"/>
        <v>34</v>
      </c>
      <c r="AI117" s="48">
        <f t="shared" si="9"/>
        <v>-59</v>
      </c>
    </row>
    <row r="118" spans="1:37" x14ac:dyDescent="0.25">
      <c r="A118" s="119" t="s">
        <v>126</v>
      </c>
      <c r="B118" s="105">
        <v>71.8</v>
      </c>
      <c r="C118" s="105">
        <v>73.7</v>
      </c>
      <c r="D118" s="105">
        <v>76.599999999999994</v>
      </c>
      <c r="E118" s="105">
        <v>78.599999999999994</v>
      </c>
      <c r="F118" s="105">
        <v>78.400000000000006</v>
      </c>
      <c r="G118" s="105">
        <v>78.400000000000006</v>
      </c>
      <c r="H118" s="105">
        <v>77.099999999999994</v>
      </c>
      <c r="I118" s="105">
        <v>77.099999999999994</v>
      </c>
      <c r="J118" s="105">
        <v>77.099999999999994</v>
      </c>
      <c r="K118" s="105">
        <v>77.099999999999994</v>
      </c>
      <c r="L118" s="105">
        <v>77.099999999999994</v>
      </c>
      <c r="M118" s="105">
        <v>58.3</v>
      </c>
      <c r="N118" s="105">
        <v>58.2</v>
      </c>
      <c r="O118" s="105">
        <v>53.7</v>
      </c>
      <c r="P118" s="105">
        <v>53.4</v>
      </c>
      <c r="Q118" s="105"/>
      <c r="R118" s="105"/>
      <c r="S118" s="105">
        <v>52</v>
      </c>
      <c r="T118" s="105">
        <v>51</v>
      </c>
      <c r="U118" s="105">
        <v>51.7</v>
      </c>
      <c r="V118" s="105">
        <v>51</v>
      </c>
      <c r="W118" s="105">
        <v>47.6</v>
      </c>
      <c r="X118" s="105">
        <v>60</v>
      </c>
      <c r="Y118" s="105">
        <v>65</v>
      </c>
      <c r="Z118" s="105">
        <v>68</v>
      </c>
      <c r="AA118" s="105">
        <v>58.4</v>
      </c>
      <c r="AB118" s="105">
        <v>53.4</v>
      </c>
      <c r="AC118" s="105">
        <v>53.4</v>
      </c>
      <c r="AD118" s="105">
        <v>65</v>
      </c>
      <c r="AE118" s="105">
        <v>66</v>
      </c>
      <c r="AF118" s="105">
        <v>44</v>
      </c>
      <c r="AG118" s="118"/>
      <c r="AH118" s="47">
        <f t="shared" si="8"/>
        <v>78.599999999999994</v>
      </c>
      <c r="AI118" s="48">
        <f t="shared" si="9"/>
        <v>44</v>
      </c>
    </row>
    <row r="119" spans="1:37" x14ac:dyDescent="0.25">
      <c r="A119" s="120" t="s">
        <v>127</v>
      </c>
      <c r="B119" s="105">
        <v>76.599999999999994</v>
      </c>
      <c r="C119" s="105">
        <v>76.3</v>
      </c>
      <c r="D119" s="105">
        <v>95.8</v>
      </c>
      <c r="E119" s="105">
        <v>57.9</v>
      </c>
      <c r="F119" s="105">
        <v>59.7</v>
      </c>
      <c r="G119" s="105">
        <v>59.7</v>
      </c>
      <c r="H119" s="105">
        <v>74.2</v>
      </c>
      <c r="I119" s="105">
        <v>74.2</v>
      </c>
      <c r="J119" s="105">
        <v>74.2</v>
      </c>
      <c r="K119" s="105">
        <v>74.2</v>
      </c>
      <c r="L119" s="105">
        <v>61.2</v>
      </c>
      <c r="M119" s="105">
        <v>71.2</v>
      </c>
      <c r="N119" s="105">
        <v>73</v>
      </c>
      <c r="O119" s="105">
        <v>74.400000000000006</v>
      </c>
      <c r="P119" s="105">
        <v>76.099999999999994</v>
      </c>
      <c r="Q119" s="105"/>
      <c r="R119" s="105"/>
      <c r="S119" s="105">
        <v>45.7</v>
      </c>
      <c r="T119" s="105">
        <v>67.3</v>
      </c>
      <c r="U119" s="105">
        <v>57.3</v>
      </c>
      <c r="V119" s="105">
        <v>71.2</v>
      </c>
      <c r="W119" s="105">
        <v>54</v>
      </c>
      <c r="X119" s="105">
        <v>69</v>
      </c>
      <c r="Y119" s="105">
        <v>77</v>
      </c>
      <c r="Z119" s="105">
        <v>77</v>
      </c>
      <c r="AA119" s="105">
        <v>71</v>
      </c>
      <c r="AB119" s="105">
        <v>76.8</v>
      </c>
      <c r="AC119" s="105">
        <v>76.8</v>
      </c>
      <c r="AD119" s="105">
        <v>75</v>
      </c>
      <c r="AE119" s="105">
        <v>74</v>
      </c>
      <c r="AF119" s="105">
        <v>74</v>
      </c>
      <c r="AG119" s="118"/>
      <c r="AH119" s="47">
        <f t="shared" si="8"/>
        <v>95.8</v>
      </c>
      <c r="AI119" s="48">
        <f t="shared" si="9"/>
        <v>45.7</v>
      </c>
    </row>
    <row r="120" spans="1:37" ht="15.75" thickBot="1" x14ac:dyDescent="0.3">
      <c r="A120" s="119" t="s">
        <v>128</v>
      </c>
      <c r="B120" s="105">
        <v>-13.9</v>
      </c>
      <c r="C120" s="105">
        <v>-16.399999999999999</v>
      </c>
      <c r="D120" s="105">
        <v>-26.4</v>
      </c>
      <c r="E120" s="105">
        <v>-28.2</v>
      </c>
      <c r="F120" s="105">
        <v>-29.2</v>
      </c>
      <c r="G120" s="105">
        <v>-29.2</v>
      </c>
      <c r="H120" s="105">
        <v>-22.9</v>
      </c>
      <c r="I120" s="105">
        <v>-22.9</v>
      </c>
      <c r="J120" s="105">
        <v>-22.9</v>
      </c>
      <c r="K120" s="105">
        <v>-22.9</v>
      </c>
      <c r="L120" s="105">
        <v>-4.9000000000000004</v>
      </c>
      <c r="M120" s="105">
        <v>0.1</v>
      </c>
      <c r="N120" s="105">
        <v>0.9</v>
      </c>
      <c r="O120" s="105">
        <v>6.1</v>
      </c>
      <c r="P120" s="105">
        <v>6.1</v>
      </c>
      <c r="Q120" s="105"/>
      <c r="R120" s="105"/>
      <c r="S120" s="105">
        <v>9</v>
      </c>
      <c r="T120" s="105">
        <v>13.8</v>
      </c>
      <c r="U120" s="105">
        <v>6.4</v>
      </c>
      <c r="V120" s="105">
        <v>-4</v>
      </c>
      <c r="W120" s="105">
        <v>0.5</v>
      </c>
      <c r="X120" s="105">
        <v>8</v>
      </c>
      <c r="Y120" s="105">
        <v>7</v>
      </c>
      <c r="Z120" s="105">
        <v>8</v>
      </c>
      <c r="AA120" s="105">
        <v>3.5</v>
      </c>
      <c r="AB120" s="105">
        <v>3.2</v>
      </c>
      <c r="AC120" s="105">
        <v>3.2</v>
      </c>
      <c r="AD120" s="105">
        <v>-18</v>
      </c>
      <c r="AE120" s="105">
        <v>-14</v>
      </c>
      <c r="AF120" s="105">
        <v>-1</v>
      </c>
      <c r="AG120" s="118"/>
      <c r="AH120" s="47">
        <f t="shared" si="8"/>
        <v>13.8</v>
      </c>
      <c r="AI120" s="48">
        <f t="shared" si="9"/>
        <v>-29.2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2207.64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14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2080/05/14)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2080/05/14)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2028.5399999999997</v>
      </c>
      <c r="U249" s="170">
        <f t="shared" si="22"/>
        <v>2028.5399999999997</v>
      </c>
      <c r="V249" s="170">
        <f t="shared" si="22"/>
        <v>2028.5399999999997</v>
      </c>
      <c r="W249" s="170">
        <f t="shared" si="22"/>
        <v>2028.5399999999997</v>
      </c>
      <c r="X249" s="170">
        <f t="shared" si="22"/>
        <v>2008.3399999999997</v>
      </c>
      <c r="Y249" s="170">
        <f t="shared" si="22"/>
        <v>2005.4399999999998</v>
      </c>
      <c r="Z249" s="170">
        <f t="shared" si="22"/>
        <v>2005.7399999999998</v>
      </c>
      <c r="AA249" s="170">
        <f t="shared" si="22"/>
        <v>2039.5399999999997</v>
      </c>
      <c r="AB249" s="170">
        <f t="shared" si="22"/>
        <v>2088.54</v>
      </c>
      <c r="AC249" s="170">
        <f t="shared" si="22"/>
        <v>2120.54</v>
      </c>
      <c r="AD249" s="170">
        <f t="shared" si="22"/>
        <v>2133.54</v>
      </c>
      <c r="AE249" s="170">
        <f t="shared" si="22"/>
        <v>2154.34</v>
      </c>
      <c r="AF249" s="170">
        <f t="shared" si="22"/>
        <v>2207.64</v>
      </c>
      <c r="AG249" s="170">
        <f t="shared" si="22"/>
        <v>2230.3399999999997</v>
      </c>
      <c r="AH249" s="170">
        <f t="shared" si="22"/>
        <v>2207.8399999999997</v>
      </c>
      <c r="AI249" s="170">
        <f t="shared" si="22"/>
        <v>3.54</v>
      </c>
      <c r="AJ249" s="170">
        <f t="shared" si="22"/>
        <v>3.54</v>
      </c>
      <c r="AK249" s="170">
        <f t="shared" si="22"/>
        <v>2244.64</v>
      </c>
      <c r="AL249" s="170">
        <f t="shared" si="22"/>
        <v>2195.2399999999998</v>
      </c>
      <c r="AM249" s="170">
        <f t="shared" si="22"/>
        <v>2187.1400000000003</v>
      </c>
      <c r="AN249" s="170">
        <f t="shared" si="22"/>
        <v>2179.1400000000003</v>
      </c>
      <c r="AO249" s="170">
        <f t="shared" si="22"/>
        <v>2150.6400000000003</v>
      </c>
      <c r="AP249" s="170">
        <f t="shared" si="22"/>
        <v>2236.84</v>
      </c>
      <c r="AQ249" s="170">
        <f t="shared" si="22"/>
        <v>2284.44</v>
      </c>
      <c r="AR249" s="170">
        <f t="shared" si="22"/>
        <v>2273.2399999999998</v>
      </c>
      <c r="AS249" s="170">
        <f t="shared" si="22"/>
        <v>2238.9399999999996</v>
      </c>
      <c r="AT249" s="170">
        <f t="shared" si="22"/>
        <v>2227.54</v>
      </c>
      <c r="AU249" s="170">
        <f t="shared" si="22"/>
        <v>2178.2399999999998</v>
      </c>
      <c r="AV249" s="170">
        <f t="shared" si="22"/>
        <v>2173.2399999999998</v>
      </c>
      <c r="AW249" s="170">
        <f t="shared" si="22"/>
        <v>2050.14</v>
      </c>
      <c r="AX249" s="170">
        <f t="shared" si="22"/>
        <v>2016.84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2250" priority="69">
      <formula>$AH11=0</formula>
    </cfRule>
  </conditionalFormatting>
  <conditionalFormatting sqref="B8 M8 S8 AB8">
    <cfRule type="expression" dxfId="2249" priority="120">
      <formula>AND(C$9&gt;=14/24,C$9&lt;20/24)</formula>
    </cfRule>
    <cfRule type="expression" dxfId="2248" priority="121">
      <formula>AND(C$9&gt;=8/24,C$9&lt;14/24)</formula>
    </cfRule>
    <cfRule type="expression" dxfId="2247" priority="122">
      <formula>C$9&lt;8/24</formula>
    </cfRule>
  </conditionalFormatting>
  <conditionalFormatting sqref="B54:C54 B51:M53 Q51:AF53">
    <cfRule type="expression" dxfId="2246" priority="43">
      <formula>B$9&gt;=20/24</formula>
    </cfRule>
    <cfRule type="expression" dxfId="2245" priority="44">
      <formula>AND(B$9&gt;=14/24,B$9&lt;20/24)</formula>
    </cfRule>
    <cfRule type="expression" dxfId="2244" priority="45">
      <formula>AND(B$9&gt;=8/24,B$9&lt;14/24)</formula>
    </cfRule>
    <cfRule type="expression" dxfId="2243" priority="46">
      <formula>B$9&lt;8/24</formula>
    </cfRule>
  </conditionalFormatting>
  <conditionalFormatting sqref="B54:C66 D55:L66 B51:M53 M61:P66 B48:AA50 O51:AA53 AB48:AF53">
    <cfRule type="expression" dxfId="2242" priority="38">
      <formula>B48&gt;$AG48</formula>
    </cfRule>
  </conditionalFormatting>
  <conditionalFormatting sqref="B55:L59">
    <cfRule type="expression" dxfId="2241" priority="65">
      <formula>B$9&gt;=20/24</formula>
    </cfRule>
    <cfRule type="expression" dxfId="2240" priority="66">
      <formula>AND(B$9&gt;=14/24,B$9&lt;20/24)</formula>
    </cfRule>
    <cfRule type="expression" dxfId="2239" priority="67">
      <formula>AND(B$9&gt;=8/24,B$9&lt;14/24)</formula>
    </cfRule>
    <cfRule type="expression" dxfId="2238" priority="68">
      <formula>B$9&lt;8/24</formula>
    </cfRule>
  </conditionalFormatting>
  <conditionalFormatting sqref="B60:R60">
    <cfRule type="expression" dxfId="2237" priority="56">
      <formula>B$9&gt;=20/24</formula>
    </cfRule>
    <cfRule type="expression" dxfId="2236" priority="57">
      <formula>AND(B$9&gt;=14/24,B$9&lt;20/24)</formula>
    </cfRule>
    <cfRule type="expression" dxfId="2235" priority="58">
      <formula>AND(B$9&gt;=8/24,B$9&lt;14/24)</formula>
    </cfRule>
    <cfRule type="expression" dxfId="2234" priority="59">
      <formula>B$9&lt;8/24</formula>
    </cfRule>
  </conditionalFormatting>
  <conditionalFormatting sqref="B61:AF66">
    <cfRule type="expression" dxfId="2233" priority="39">
      <formula>B$9&gt;=20/24</formula>
    </cfRule>
    <cfRule type="expression" dxfId="2232" priority="40">
      <formula>AND(B$9&gt;=14/24,B$9&lt;20/24)</formula>
    </cfRule>
    <cfRule type="expression" dxfId="2231" priority="41">
      <formula>AND(B$9&gt;=8/24,B$9&lt;14/24)</formula>
    </cfRule>
    <cfRule type="expression" dxfId="2230" priority="42">
      <formula>B$9&lt;8/24</formula>
    </cfRule>
  </conditionalFormatting>
  <conditionalFormatting sqref="B9:AF45">
    <cfRule type="expression" dxfId="2229" priority="28">
      <formula>B$9&gt;=20/24</formula>
    </cfRule>
    <cfRule type="expression" dxfId="2228" priority="29">
      <formula>AND(B$9&gt;=14/24,B$9&lt;20/24)</formula>
    </cfRule>
    <cfRule type="expression" dxfId="2227" priority="30">
      <formula>AND(B$9&gt;=8/24,B$9&lt;14/24)</formula>
    </cfRule>
    <cfRule type="expression" dxfId="2226" priority="31">
      <formula>B$9&lt;8/24</formula>
    </cfRule>
  </conditionalFormatting>
  <conditionalFormatting sqref="B11:AF46">
    <cfRule type="expression" dxfId="2225" priority="27">
      <formula>B11&gt;$AG11</formula>
    </cfRule>
  </conditionalFormatting>
  <conditionalFormatting sqref="B46:AF46">
    <cfRule type="expression" dxfId="2224" priority="23">
      <formula>B$9&gt;=20/24</formula>
    </cfRule>
    <cfRule type="expression" dxfId="2223" priority="24">
      <formula>AND(B$9&gt;=14/24,B$9&lt;20/24)</formula>
    </cfRule>
    <cfRule type="expression" dxfId="2222" priority="25">
      <formula>AND(B$9&gt;=8/24,B$9&lt;14/24)</formula>
    </cfRule>
    <cfRule type="expression" dxfId="2221" priority="26">
      <formula>B$9&lt;8/24</formula>
    </cfRule>
  </conditionalFormatting>
  <conditionalFormatting sqref="B47:AF47">
    <cfRule type="expression" dxfId="2220" priority="37">
      <formula>B47&gt;$AG47</formula>
    </cfRule>
  </conditionalFormatting>
  <conditionalFormatting sqref="B47:AF49">
    <cfRule type="expression" dxfId="2219" priority="33">
      <formula>B$9&gt;=20/24</formula>
    </cfRule>
    <cfRule type="expression" dxfId="2218" priority="34">
      <formula>AND(B$9&gt;=14/24,B$9&lt;20/24)</formula>
    </cfRule>
    <cfRule type="expression" dxfId="2217" priority="35">
      <formula>AND(B$9&gt;=8/24,B$9&lt;14/24)</formula>
    </cfRule>
    <cfRule type="expression" dxfId="2216" priority="36">
      <formula>B$9&lt;8/24</formula>
    </cfRule>
  </conditionalFormatting>
  <conditionalFormatting sqref="D54:AG54 B69:AF71">
    <cfRule type="expression" dxfId="2215" priority="60">
      <formula>B54&gt;$AG54</formula>
    </cfRule>
    <cfRule type="expression" dxfId="2214" priority="61">
      <formula>B$9&gt;=20/24</formula>
    </cfRule>
    <cfRule type="expression" dxfId="2213" priority="62">
      <formula>AND(B$9&gt;=14/24,B$9&lt;20/24)</formula>
    </cfRule>
    <cfRule type="expression" dxfId="2212" priority="63">
      <formula>AND(B$9&gt;=8/24,B$9&lt;14/24)</formula>
    </cfRule>
    <cfRule type="expression" dxfId="2211" priority="64">
      <formula>B$9&lt;8/24</formula>
    </cfRule>
  </conditionalFormatting>
  <conditionalFormatting sqref="B73:AF91">
    <cfRule type="expression" dxfId="2210" priority="6">
      <formula>B$9&gt;=20/24</formula>
    </cfRule>
    <cfRule type="expression" dxfId="2209" priority="7">
      <formula>AND(B$9&gt;=14/24,B$9&lt;20/24)</formula>
    </cfRule>
    <cfRule type="expression" dxfId="2208" priority="8">
      <formula>AND(B$9&gt;=8/24,B$9&lt;14/24)</formula>
    </cfRule>
    <cfRule type="expression" dxfId="2207" priority="9">
      <formula>B$9&lt;8/24</formula>
    </cfRule>
  </conditionalFormatting>
  <conditionalFormatting sqref="B111:AF120">
    <cfRule type="expression" dxfId="2206" priority="19">
      <formula>B$9&gt;=20/24</formula>
    </cfRule>
    <cfRule type="expression" dxfId="2205" priority="20">
      <formula>AND(B$9&gt;=14/24,B$9&lt;20/24)</formula>
    </cfRule>
    <cfRule type="expression" dxfId="2204" priority="21">
      <formula>AND(B$9&gt;=8/24,B$9&lt;14/24)</formula>
    </cfRule>
    <cfRule type="expression" dxfId="2203" priority="22">
      <formula>B$9&lt;8/24</formula>
    </cfRule>
  </conditionalFormatting>
  <conditionalFormatting sqref="B227:AF227 D229:AF230 B229:B235 D231:H231 J231:AF231 D232:AF235 U248:AF248">
    <cfRule type="expression" dxfId="2202" priority="113">
      <formula>B$9&gt;=20/24</formula>
    </cfRule>
    <cfRule type="expression" dxfId="2201" priority="114">
      <formula>AND(B$9&gt;=14/24,B$9&lt;20/24)</formula>
    </cfRule>
    <cfRule type="expression" dxfId="2200" priority="115">
      <formula>AND(B$9&gt;=8/24,B$9&lt;14/24)</formula>
    </cfRule>
    <cfRule type="expression" dxfId="2199" priority="116">
      <formula>B$9&lt;8/24</formula>
    </cfRule>
  </conditionalFormatting>
  <conditionalFormatting sqref="B67:AG68 B72:AG72">
    <cfRule type="expression" dxfId="2198" priority="47">
      <formula>B67&gt;$AG67</formula>
    </cfRule>
  </conditionalFormatting>
  <conditionalFormatting sqref="B72:AG72 B93:AF109">
    <cfRule type="expression" dxfId="2197" priority="48">
      <formula>B$9&gt;=20/24</formula>
    </cfRule>
    <cfRule type="expression" dxfId="2196" priority="49">
      <formula>AND(B$9&gt;=14/24,B$9&lt;20/24)</formula>
    </cfRule>
    <cfRule type="expression" dxfId="2195" priority="50">
      <formula>AND(B$9&gt;=8/24,B$9&lt;14/24)</formula>
    </cfRule>
    <cfRule type="expression" dxfId="2194" priority="51">
      <formula>B$9&lt;8/24</formula>
    </cfRule>
  </conditionalFormatting>
  <conditionalFormatting sqref="M55:AF66">
    <cfRule type="expression" dxfId="2193" priority="10">
      <formula>M55&gt;$AG55</formula>
    </cfRule>
  </conditionalFormatting>
  <conditionalFormatting sqref="M55:R59">
    <cfRule type="expression" dxfId="2192" priority="98">
      <formula>M$9&gt;=20/24</formula>
    </cfRule>
    <cfRule type="expression" dxfId="2191" priority="99">
      <formula>AND(M$9&gt;=14/24,M$9&lt;20/24)</formula>
    </cfRule>
    <cfRule type="expression" dxfId="2190" priority="100">
      <formula>AND(M$9&gt;=8/24,M$9&lt;14/24)</formula>
    </cfRule>
    <cfRule type="expression" dxfId="2189" priority="101">
      <formula>M$9&lt;8/24</formula>
    </cfRule>
  </conditionalFormatting>
  <conditionalFormatting sqref="O3:P3">
    <cfRule type="iconSet" priority="117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188" priority="119">
      <formula>C$9&gt;=20/24</formula>
    </cfRule>
  </conditionalFormatting>
  <conditionalFormatting sqref="S8">
    <cfRule type="expression" dxfId="2187" priority="106">
      <formula>U$9&gt;=20/24</formula>
    </cfRule>
    <cfRule type="expression" dxfId="2186" priority="107">
      <formula>AND(U$9&gt;=14/24,U$9&lt;20/24)</formula>
    </cfRule>
    <cfRule type="expression" dxfId="2185" priority="108">
      <formula>AND(U$9&gt;=8/24,U$9&lt;14/24)</formula>
    </cfRule>
    <cfRule type="expression" dxfId="2184" priority="109">
      <formula>U$9&lt;8/24</formula>
    </cfRule>
  </conditionalFormatting>
  <conditionalFormatting sqref="S55:AF60">
    <cfRule type="expression" dxfId="2183" priority="15">
      <formula>S$9&gt;=20/24</formula>
    </cfRule>
    <cfRule type="expression" dxfId="2182" priority="16">
      <formula>AND(S$9&gt;=14/24,S$9&lt;20/24)</formula>
    </cfRule>
    <cfRule type="expression" dxfId="2181" priority="17">
      <formula>AND(S$9&gt;=8/24,S$9&lt;14/24)</formula>
    </cfRule>
    <cfRule type="expression" dxfId="2180" priority="18">
      <formula>S$9&lt;8/24</formula>
    </cfRule>
  </conditionalFormatting>
  <conditionalFormatting sqref="T248">
    <cfRule type="expression" dxfId="2179" priority="131">
      <formula>AX$9&gt;=20/24</formula>
    </cfRule>
    <cfRule type="expression" dxfId="2178" priority="132">
      <formula>AND(AX$9&gt;=14/24,AX$9&lt;20/24)</formula>
    </cfRule>
    <cfRule type="expression" dxfId="2177" priority="133">
      <formula>AND(AX$9&gt;=8/24,AX$9&lt;14/24)</formula>
    </cfRule>
    <cfRule type="expression" dxfId="2176" priority="134">
      <formula>AX$9&lt;8/24</formula>
    </cfRule>
  </conditionalFormatting>
  <conditionalFormatting sqref="V3 AB3">
    <cfRule type="iconSet" priority="118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175" priority="102">
      <formula>AD$9&gt;=20/24</formula>
    </cfRule>
    <cfRule type="expression" dxfId="2174" priority="103">
      <formula>AND(AD$9&gt;=14/24,AD$9&lt;20/24)</formula>
    </cfRule>
    <cfRule type="expression" dxfId="2173" priority="104">
      <formula>AND(AD$9&gt;=8/24,AD$9&lt;14/24)</formula>
    </cfRule>
    <cfRule type="expression" dxfId="2172" priority="105">
      <formula>AD$9&lt;8/24</formula>
    </cfRule>
  </conditionalFormatting>
  <conditionalFormatting sqref="AG50">
    <cfRule type="expression" dxfId="2171" priority="89">
      <formula>AG50&gt;$AG50</formula>
    </cfRule>
  </conditionalFormatting>
  <conditionalFormatting sqref="AG89">
    <cfRule type="expression" dxfId="2170" priority="90">
      <formula>AG$9&gt;=20/24</formula>
    </cfRule>
    <cfRule type="expression" dxfId="2169" priority="91">
      <formula>AND(AG$9&gt;=14/24,AG$9&lt;20/24)</formula>
    </cfRule>
    <cfRule type="expression" dxfId="2168" priority="92">
      <formula>AND(AG$9&gt;=8/24,AG$9&lt;14/24)</formula>
    </cfRule>
    <cfRule type="expression" dxfId="2167" priority="93">
      <formula>AG$9&lt;8/24</formula>
    </cfRule>
  </conditionalFormatting>
  <conditionalFormatting sqref="AG248">
    <cfRule type="expression" dxfId="2166" priority="123">
      <formula>B$9&gt;=20/24</formula>
    </cfRule>
    <cfRule type="expression" dxfId="2165" priority="124">
      <formula>AND(B$9&gt;=14/24,B$9&lt;20/24)</formula>
    </cfRule>
    <cfRule type="expression" dxfId="2164" priority="125">
      <formula>AND(B$9&gt;=8/24,B$9&lt;14/24)</formula>
    </cfRule>
    <cfRule type="expression" dxfId="2163" priority="126">
      <formula>B$9&lt;8/24</formula>
    </cfRule>
  </conditionalFormatting>
  <conditionalFormatting sqref="AH248:AX248 O51:P53">
    <cfRule type="expression" dxfId="2162" priority="127">
      <formula>N$9&gt;=20/24</formula>
    </cfRule>
    <cfRule type="expression" dxfId="2161" priority="128">
      <formula>AND(N$9&gt;=14/24,N$9&lt;20/24)</formula>
    </cfRule>
    <cfRule type="expression" dxfId="2160" priority="129">
      <formula>AND(N$9&gt;=8/24,N$9&lt;14/24)</formula>
    </cfRule>
    <cfRule type="expression" dxfId="2159" priority="130">
      <formula>N$9&lt;8/24</formula>
    </cfRule>
  </conditionalFormatting>
  <conditionalFormatting sqref="AL4:AL6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72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7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71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6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8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11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10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70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5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158" priority="136">
      <formula>AJ$9&gt;=20/24</formula>
    </cfRule>
    <cfRule type="expression" dxfId="2157" priority="137">
      <formula>AND(AJ$9&gt;=14/24,AJ$9&lt;20/24)</formula>
    </cfRule>
    <cfRule type="expression" dxfId="2156" priority="138">
      <formula>AND(AJ$9&gt;=8/24,AJ$9&lt;14/24)</formula>
    </cfRule>
    <cfRule type="expression" dxfId="2155" priority="139">
      <formula>AJ$9&lt;8/24</formula>
    </cfRule>
  </conditionalFormatting>
  <conditionalFormatting sqref="AL80:AN80 AL86:AN86">
    <cfRule type="expression" dxfId="2154" priority="77">
      <formula>AL$9&gt;=20/24</formula>
    </cfRule>
    <cfRule type="expression" dxfId="2153" priority="78">
      <formula>AND(AL$9&gt;=14/24,AL$9&lt;20/24)</formula>
    </cfRule>
    <cfRule type="expression" dxfId="2152" priority="79">
      <formula>AND(AL$9&gt;=8/24,AL$9&lt;14/24)</formula>
    </cfRule>
    <cfRule type="expression" dxfId="2151" priority="80">
      <formula>AL$9&lt;8/24</formula>
    </cfRule>
  </conditionalFormatting>
  <conditionalFormatting sqref="AN81:AN84">
    <cfRule type="expression" dxfId="2150" priority="73">
      <formula>AN$9&gt;=20/24</formula>
    </cfRule>
    <cfRule type="expression" dxfId="2149" priority="74">
      <formula>AND(AN$9&gt;=14/24,AN$9&lt;20/24)</formula>
    </cfRule>
    <cfRule type="expression" dxfId="2148" priority="75">
      <formula>AND(AN$9&gt;=8/24,AN$9&lt;14/24)</formula>
    </cfRule>
    <cfRule type="expression" dxfId="2147" priority="76">
      <formula>AN$9&lt;8/24</formula>
    </cfRule>
  </conditionalFormatting>
  <conditionalFormatting sqref="N51:N53">
    <cfRule type="expression" dxfId="2146" priority="2">
      <formula>N$9&gt;=20/24</formula>
    </cfRule>
    <cfRule type="expression" dxfId="2145" priority="3">
      <formula>AND(N$9&gt;=14/24,N$9&lt;20/24)</formula>
    </cfRule>
    <cfRule type="expression" dxfId="2144" priority="4">
      <formula>AND(N$9&gt;=8/24,N$9&lt;14/24)</formula>
    </cfRule>
    <cfRule type="expression" dxfId="2143" priority="5">
      <formula>N$9&lt;8/24</formula>
    </cfRule>
  </conditionalFormatting>
  <conditionalFormatting sqref="N51:N53">
    <cfRule type="expression" dxfId="2142" priority="1">
      <formula>N51&gt;$AG51</formula>
    </cfRule>
  </conditionalFormatting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EB3EF-7739-481E-80E8-6EC19F673447}">
  <sheetPr codeName="Sheet39"/>
  <dimension ref="A1:CJ281"/>
  <sheetViews>
    <sheetView workbookViewId="0">
      <pane xSplit="1" ySplit="10" topLeftCell="B109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2080/05/15</v>
      </c>
      <c r="C4" s="201"/>
      <c r="D4" s="201"/>
      <c r="E4" s="202" t="str">
        <f ca="1">"2080/"&amp;"05/"&amp;INT(MID(CELL("filename",G6),FIND("]",CELL("filename",G6))+1,200))</f>
        <v>2080/05/15</v>
      </c>
      <c r="F4" s="202"/>
      <c r="G4" s="202"/>
      <c r="H4" s="202" t="s">
        <v>311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 t="s">
        <v>272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31.6</v>
      </c>
      <c r="O5" s="30">
        <f t="shared" si="0"/>
        <v>34.6</v>
      </c>
      <c r="P5" s="30">
        <f t="shared" si="0"/>
        <v>36.9</v>
      </c>
      <c r="Q5" s="30">
        <f t="shared" si="0"/>
        <v>39.5</v>
      </c>
      <c r="R5" s="30">
        <f t="shared" si="0"/>
        <v>51</v>
      </c>
      <c r="S5" s="30">
        <f t="shared" si="0"/>
        <v>46.2</v>
      </c>
      <c r="T5" s="30">
        <f t="shared" si="0"/>
        <v>44</v>
      </c>
      <c r="U5" s="30">
        <f t="shared" si="0"/>
        <v>12.6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2126MW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Load=0</v>
      </c>
      <c r="B7" s="35">
        <f t="shared" ref="B7:AF7" si="1">B91</f>
        <v>1991.84</v>
      </c>
      <c r="C7" s="35">
        <f t="shared" si="1"/>
        <v>1989.1399999999999</v>
      </c>
      <c r="D7" s="35">
        <f t="shared" si="1"/>
        <v>1989.1399999999999</v>
      </c>
      <c r="E7" s="35">
        <f t="shared" si="1"/>
        <v>1989.1399999999999</v>
      </c>
      <c r="F7" s="35">
        <f t="shared" si="1"/>
        <v>0</v>
      </c>
      <c r="G7" s="35">
        <f t="shared" si="1"/>
        <v>1781.2399999999998</v>
      </c>
      <c r="H7" s="35">
        <f t="shared" si="1"/>
        <v>1837.54</v>
      </c>
      <c r="I7" s="35">
        <f t="shared" si="1"/>
        <v>1894.3400000000001</v>
      </c>
      <c r="J7" s="35">
        <f t="shared" si="1"/>
        <v>1941.3400000000001</v>
      </c>
      <c r="K7" s="35">
        <f t="shared" si="1"/>
        <v>2024.8400000000001</v>
      </c>
      <c r="L7" s="35">
        <f t="shared" si="1"/>
        <v>2081.14</v>
      </c>
      <c r="M7" s="35">
        <f t="shared" si="1"/>
        <v>2100.6400000000003</v>
      </c>
      <c r="N7" s="35">
        <f>N91</f>
        <v>2126.1400000000003</v>
      </c>
      <c r="O7" s="35">
        <f t="shared" si="1"/>
        <v>2069.54</v>
      </c>
      <c r="P7" s="35">
        <f t="shared" si="1"/>
        <v>2086.94</v>
      </c>
      <c r="Q7" s="35">
        <f t="shared" si="1"/>
        <v>2081.34</v>
      </c>
      <c r="R7" s="35">
        <f t="shared" si="1"/>
        <v>2064.14</v>
      </c>
      <c r="S7" s="35">
        <f t="shared" si="1"/>
        <v>2068.84</v>
      </c>
      <c r="T7" s="35">
        <f t="shared" si="1"/>
        <v>2085.04</v>
      </c>
      <c r="U7" s="35">
        <f t="shared" si="1"/>
        <v>2085.44</v>
      </c>
      <c r="V7" s="35">
        <f t="shared" si="1"/>
        <v>2021.54</v>
      </c>
      <c r="W7" s="35">
        <f t="shared" si="1"/>
        <v>2022.94</v>
      </c>
      <c r="X7" s="35">
        <f t="shared" si="1"/>
        <v>2164.54</v>
      </c>
      <c r="Y7" s="35">
        <f t="shared" si="1"/>
        <v>2199.04</v>
      </c>
      <c r="Z7" s="35">
        <f t="shared" si="1"/>
        <v>2154.94</v>
      </c>
      <c r="AA7" s="35">
        <f t="shared" si="1"/>
        <v>2160.44</v>
      </c>
      <c r="AB7" s="35">
        <f t="shared" si="1"/>
        <v>2164.64</v>
      </c>
      <c r="AC7" s="35">
        <f t="shared" si="1"/>
        <v>2220.94</v>
      </c>
      <c r="AD7" s="35">
        <f t="shared" si="1"/>
        <v>2132.38</v>
      </c>
      <c r="AE7" s="35">
        <f t="shared" si="1"/>
        <v>2092.6400000000003</v>
      </c>
      <c r="AF7" s="35">
        <f t="shared" si="1"/>
        <v>2105.1400000000003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85.6</v>
      </c>
      <c r="C11" s="45">
        <v>85.6</v>
      </c>
      <c r="D11" s="45">
        <v>85.6</v>
      </c>
      <c r="E11" s="45">
        <v>85.6</v>
      </c>
      <c r="F11" s="45"/>
      <c r="G11" s="45">
        <v>58.5</v>
      </c>
      <c r="H11" s="45">
        <v>58.5</v>
      </c>
      <c r="I11" s="45">
        <v>90.3</v>
      </c>
      <c r="J11" s="45">
        <v>90.3</v>
      </c>
      <c r="K11" s="45">
        <v>90.3</v>
      </c>
      <c r="L11" s="45">
        <v>90.3</v>
      </c>
      <c r="M11" s="45">
        <v>90.3</v>
      </c>
      <c r="N11" s="45">
        <v>90.3</v>
      </c>
      <c r="O11" s="45">
        <v>90.3</v>
      </c>
      <c r="P11" s="45">
        <v>90.3</v>
      </c>
      <c r="Q11" s="45">
        <v>90.3</v>
      </c>
      <c r="R11" s="45">
        <v>90.3</v>
      </c>
      <c r="S11" s="45">
        <v>90.3</v>
      </c>
      <c r="T11" s="45">
        <v>90.3</v>
      </c>
      <c r="U11" s="45">
        <v>90.3</v>
      </c>
      <c r="V11" s="45">
        <v>90.3</v>
      </c>
      <c r="W11" s="45">
        <v>90.3</v>
      </c>
      <c r="X11" s="45">
        <v>90.3</v>
      </c>
      <c r="Y11" s="45">
        <v>90.3</v>
      </c>
      <c r="Z11" s="45">
        <v>90.3</v>
      </c>
      <c r="AA11" s="45">
        <v>90.3</v>
      </c>
      <c r="AB11" s="45">
        <v>90.3</v>
      </c>
      <c r="AC11" s="45">
        <v>90.3</v>
      </c>
      <c r="AD11" s="45">
        <v>90.3</v>
      </c>
      <c r="AE11" s="45">
        <v>90.3</v>
      </c>
      <c r="AF11" s="45">
        <v>90.3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58.5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/>
      <c r="G12" s="45">
        <v>5</v>
      </c>
      <c r="H12" s="45">
        <v>5</v>
      </c>
      <c r="I12" s="45">
        <v>5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5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/>
      <c r="G13" s="45">
        <v>0</v>
      </c>
      <c r="H13" s="45">
        <v>0</v>
      </c>
      <c r="I13" s="45">
        <v>25</v>
      </c>
      <c r="J13" s="45">
        <v>25</v>
      </c>
      <c r="K13" s="45">
        <v>25</v>
      </c>
      <c r="L13" s="45">
        <v>25</v>
      </c>
      <c r="M13" s="45">
        <v>54</v>
      </c>
      <c r="N13" s="45">
        <v>54</v>
      </c>
      <c r="O13" s="45">
        <v>54</v>
      </c>
      <c r="P13" s="45">
        <v>54</v>
      </c>
      <c r="Q13" s="45">
        <v>54</v>
      </c>
      <c r="R13" s="45">
        <v>39</v>
      </c>
      <c r="S13" s="45">
        <v>28.7</v>
      </c>
      <c r="T13" s="45">
        <v>28.7</v>
      </c>
      <c r="U13" s="45">
        <v>54.1</v>
      </c>
      <c r="V13" s="45">
        <v>54.1</v>
      </c>
      <c r="W13" s="45">
        <v>54.1</v>
      </c>
      <c r="X13" s="45">
        <v>54.1</v>
      </c>
      <c r="Y13" s="45">
        <v>54.1</v>
      </c>
      <c r="Z13" s="45">
        <v>54.1</v>
      </c>
      <c r="AA13" s="45">
        <v>54.1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54.3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/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25.3</v>
      </c>
      <c r="N14" s="58">
        <v>25.3</v>
      </c>
      <c r="O14" s="58">
        <v>25.3</v>
      </c>
      <c r="P14" s="58">
        <v>25.3</v>
      </c>
      <c r="Q14" s="58">
        <v>50.5</v>
      </c>
      <c r="R14" s="58">
        <v>50.5</v>
      </c>
      <c r="S14" s="58">
        <v>24.8</v>
      </c>
      <c r="T14" s="58">
        <v>24.8</v>
      </c>
      <c r="U14" s="58">
        <v>24.8</v>
      </c>
      <c r="V14" s="58">
        <v>24.8</v>
      </c>
      <c r="W14" s="58">
        <v>24.8</v>
      </c>
      <c r="X14" s="58">
        <v>24.8</v>
      </c>
      <c r="Y14" s="58">
        <v>24.8</v>
      </c>
      <c r="Z14" s="58">
        <v>24.8</v>
      </c>
      <c r="AA14" s="58">
        <v>24.8</v>
      </c>
      <c r="AB14" s="45">
        <v>50.5</v>
      </c>
      <c r="AC14" s="45">
        <v>50.5</v>
      </c>
      <c r="AD14" s="45">
        <v>50.5</v>
      </c>
      <c r="AE14" s="45">
        <v>50.5</v>
      </c>
      <c r="AF14" s="45">
        <v>50.5</v>
      </c>
      <c r="AG14" s="49">
        <v>50</v>
      </c>
      <c r="AH14" s="47">
        <f t="shared" si="2"/>
        <v>50.5</v>
      </c>
      <c r="AI14" s="48">
        <f t="shared" si="3"/>
        <v>24.8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46.2</v>
      </c>
      <c r="C15" s="45">
        <v>46.2</v>
      </c>
      <c r="D15" s="45">
        <v>46.2</v>
      </c>
      <c r="E15" s="45">
        <v>46.2</v>
      </c>
      <c r="F15" s="45"/>
      <c r="G15" s="45">
        <v>46.2</v>
      </c>
      <c r="H15" s="45">
        <v>46.2</v>
      </c>
      <c r="I15" s="45">
        <v>46.2</v>
      </c>
      <c r="J15" s="45">
        <v>46.2</v>
      </c>
      <c r="K15" s="45">
        <v>46.2</v>
      </c>
      <c r="L15" s="45">
        <v>46.2</v>
      </c>
      <c r="M15" s="45">
        <v>46.2</v>
      </c>
      <c r="N15" s="45">
        <v>46.2</v>
      </c>
      <c r="O15" s="45">
        <v>46.2</v>
      </c>
      <c r="P15" s="45">
        <v>46.2</v>
      </c>
      <c r="Q15" s="45">
        <v>46.2</v>
      </c>
      <c r="R15" s="45">
        <v>46.2</v>
      </c>
      <c r="S15" s="45">
        <v>46.4</v>
      </c>
      <c r="T15" s="45">
        <v>46.4</v>
      </c>
      <c r="U15" s="45">
        <v>46.4</v>
      </c>
      <c r="V15" s="45">
        <v>46.4</v>
      </c>
      <c r="W15" s="45">
        <v>46.4</v>
      </c>
      <c r="X15" s="45">
        <v>46.4</v>
      </c>
      <c r="Y15" s="45">
        <v>46.4</v>
      </c>
      <c r="Z15" s="45">
        <v>46.4</v>
      </c>
      <c r="AA15" s="45">
        <v>46.4</v>
      </c>
      <c r="AB15" s="45">
        <v>46.4</v>
      </c>
      <c r="AC15" s="45">
        <v>46.4</v>
      </c>
      <c r="AD15" s="45">
        <v>46.4</v>
      </c>
      <c r="AE15" s="45">
        <v>46.4</v>
      </c>
      <c r="AF15" s="45">
        <v>46.4</v>
      </c>
      <c r="AG15" s="49">
        <v>45</v>
      </c>
      <c r="AH15" s="47">
        <f t="shared" si="2"/>
        <v>46.4</v>
      </c>
      <c r="AI15" s="48">
        <f t="shared" si="3"/>
        <v>46.2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/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0</v>
      </c>
      <c r="C17" s="45">
        <v>21</v>
      </c>
      <c r="D17" s="45">
        <v>21</v>
      </c>
      <c r="E17" s="45">
        <v>21</v>
      </c>
      <c r="F17" s="45"/>
      <c r="G17" s="45">
        <v>14</v>
      </c>
      <c r="H17" s="45">
        <v>19</v>
      </c>
      <c r="I17" s="45">
        <v>19</v>
      </c>
      <c r="J17" s="45">
        <v>19</v>
      </c>
      <c r="K17" s="45">
        <v>19</v>
      </c>
      <c r="L17" s="45">
        <v>19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28.4</v>
      </c>
      <c r="T17" s="45">
        <v>28.4</v>
      </c>
      <c r="U17" s="45">
        <v>28.4</v>
      </c>
      <c r="V17" s="45">
        <v>28.4</v>
      </c>
      <c r="W17" s="45">
        <v>28.4</v>
      </c>
      <c r="X17" s="45">
        <v>28.4</v>
      </c>
      <c r="Y17" s="45">
        <v>28.4</v>
      </c>
      <c r="Z17" s="45">
        <v>28.4</v>
      </c>
      <c r="AA17" s="45">
        <v>28.4</v>
      </c>
      <c r="AB17" s="45">
        <v>28.4</v>
      </c>
      <c r="AC17" s="45">
        <v>28.4</v>
      </c>
      <c r="AD17" s="45">
        <v>28.4</v>
      </c>
      <c r="AE17" s="45">
        <v>28.4</v>
      </c>
      <c r="AF17" s="45">
        <v>28.4</v>
      </c>
      <c r="AG17" s="49">
        <v>42</v>
      </c>
      <c r="AH17" s="47">
        <f t="shared" si="2"/>
        <v>28.4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/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/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5</v>
      </c>
      <c r="E20" s="45">
        <v>5</v>
      </c>
      <c r="F20" s="45"/>
      <c r="G20" s="45">
        <v>5</v>
      </c>
      <c r="H20" s="45">
        <v>5</v>
      </c>
      <c r="I20" s="45">
        <v>5</v>
      </c>
      <c r="J20" s="45">
        <v>15</v>
      </c>
      <c r="K20" s="45">
        <v>15</v>
      </c>
      <c r="L20" s="45">
        <v>28.6</v>
      </c>
      <c r="M20" s="45">
        <v>28.6</v>
      </c>
      <c r="N20" s="45">
        <v>28.6</v>
      </c>
      <c r="O20" s="45">
        <v>28.6</v>
      </c>
      <c r="P20" s="45">
        <v>28.6</v>
      </c>
      <c r="Q20" s="45">
        <v>28.6</v>
      </c>
      <c r="R20" s="45">
        <v>20.5</v>
      </c>
      <c r="S20" s="45">
        <v>30</v>
      </c>
      <c r="T20" s="45">
        <v>30</v>
      </c>
      <c r="U20" s="45">
        <v>30</v>
      </c>
      <c r="V20" s="45">
        <v>10</v>
      </c>
      <c r="W20" s="45">
        <v>10</v>
      </c>
      <c r="X20" s="45">
        <v>30</v>
      </c>
      <c r="Y20" s="45">
        <v>30</v>
      </c>
      <c r="Z20" s="45">
        <v>30</v>
      </c>
      <c r="AA20" s="45">
        <v>30</v>
      </c>
      <c r="AB20" s="45">
        <v>28.4</v>
      </c>
      <c r="AC20" s="45">
        <v>28.4</v>
      </c>
      <c r="AD20" s="45">
        <v>20.399999999999999</v>
      </c>
      <c r="AE20" s="45">
        <v>15.4</v>
      </c>
      <c r="AF20" s="45">
        <v>15.4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30</v>
      </c>
      <c r="C21" s="45">
        <v>30</v>
      </c>
      <c r="D21" s="45">
        <v>30</v>
      </c>
      <c r="E21" s="45">
        <v>30</v>
      </c>
      <c r="F21" s="45"/>
      <c r="G21" s="45">
        <v>30</v>
      </c>
      <c r="H21" s="45">
        <v>30</v>
      </c>
      <c r="I21" s="45">
        <v>30</v>
      </c>
      <c r="J21" s="45">
        <v>30</v>
      </c>
      <c r="K21" s="45">
        <v>30</v>
      </c>
      <c r="L21" s="45">
        <v>30</v>
      </c>
      <c r="M21" s="45">
        <v>30</v>
      </c>
      <c r="N21" s="45">
        <v>30</v>
      </c>
      <c r="O21" s="45">
        <v>30</v>
      </c>
      <c r="P21" s="45">
        <v>30</v>
      </c>
      <c r="Q21" s="45">
        <v>30</v>
      </c>
      <c r="R21" s="45">
        <v>30</v>
      </c>
      <c r="S21" s="45">
        <v>30</v>
      </c>
      <c r="T21" s="45">
        <v>30</v>
      </c>
      <c r="U21" s="45">
        <v>30</v>
      </c>
      <c r="V21" s="45">
        <v>30</v>
      </c>
      <c r="W21" s="45">
        <v>30</v>
      </c>
      <c r="X21" s="45">
        <v>30</v>
      </c>
      <c r="Y21" s="45">
        <v>30</v>
      </c>
      <c r="Z21" s="45">
        <v>30</v>
      </c>
      <c r="AA21" s="45">
        <v>30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30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/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5</v>
      </c>
      <c r="C23" s="45">
        <v>5</v>
      </c>
      <c r="D23" s="45">
        <v>5</v>
      </c>
      <c r="E23" s="45">
        <v>5</v>
      </c>
      <c r="F23" s="45"/>
      <c r="G23" s="45">
        <v>5</v>
      </c>
      <c r="H23" s="45">
        <v>5</v>
      </c>
      <c r="I23" s="45">
        <v>5</v>
      </c>
      <c r="J23" s="45">
        <v>20</v>
      </c>
      <c r="K23" s="45">
        <v>20</v>
      </c>
      <c r="L23" s="45">
        <v>20</v>
      </c>
      <c r="M23" s="45">
        <v>20</v>
      </c>
      <c r="N23" s="45">
        <v>20</v>
      </c>
      <c r="O23" s="45">
        <v>20</v>
      </c>
      <c r="P23" s="45">
        <v>20</v>
      </c>
      <c r="Q23" s="45">
        <v>20</v>
      </c>
      <c r="R23" s="45">
        <v>20</v>
      </c>
      <c r="S23" s="45">
        <v>27</v>
      </c>
      <c r="T23" s="45">
        <v>27</v>
      </c>
      <c r="U23" s="45">
        <v>27</v>
      </c>
      <c r="V23" s="45">
        <v>9</v>
      </c>
      <c r="W23" s="45">
        <v>9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17</v>
      </c>
      <c r="AE23" s="45">
        <v>13.5</v>
      </c>
      <c r="AF23" s="45">
        <v>13.5</v>
      </c>
      <c r="AG23" s="51">
        <v>30</v>
      </c>
      <c r="AH23" s="47">
        <f t="shared" si="2"/>
        <v>27</v>
      </c>
      <c r="AI23" s="48">
        <f t="shared" si="3"/>
        <v>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</v>
      </c>
      <c r="C24" s="45">
        <v>24</v>
      </c>
      <c r="D24" s="45">
        <v>24</v>
      </c>
      <c r="E24" s="45">
        <v>24</v>
      </c>
      <c r="F24" s="45"/>
      <c r="G24" s="45">
        <v>24</v>
      </c>
      <c r="H24" s="45">
        <v>24</v>
      </c>
      <c r="I24" s="45">
        <v>24</v>
      </c>
      <c r="J24" s="45">
        <v>24</v>
      </c>
      <c r="K24" s="45">
        <v>24</v>
      </c>
      <c r="L24" s="45">
        <v>24</v>
      </c>
      <c r="M24" s="45">
        <v>24</v>
      </c>
      <c r="N24" s="45">
        <v>24</v>
      </c>
      <c r="O24" s="45">
        <v>24</v>
      </c>
      <c r="P24" s="45">
        <v>24</v>
      </c>
      <c r="Q24" s="45">
        <v>24</v>
      </c>
      <c r="R24" s="45">
        <v>24</v>
      </c>
      <c r="S24" s="45">
        <v>24</v>
      </c>
      <c r="T24" s="45">
        <v>24</v>
      </c>
      <c r="U24" s="45">
        <v>24</v>
      </c>
      <c r="V24" s="45">
        <v>24</v>
      </c>
      <c r="W24" s="45">
        <v>24</v>
      </c>
      <c r="X24" s="45">
        <v>24</v>
      </c>
      <c r="Y24" s="45">
        <v>24</v>
      </c>
      <c r="Z24" s="45">
        <v>24</v>
      </c>
      <c r="AA24" s="45">
        <v>24</v>
      </c>
      <c r="AB24" s="45">
        <v>26.1</v>
      </c>
      <c r="AC24" s="45">
        <v>26.1</v>
      </c>
      <c r="AD24" s="45">
        <v>26.1</v>
      </c>
      <c r="AE24" s="45">
        <v>24.1</v>
      </c>
      <c r="AF24" s="45">
        <v>24.1</v>
      </c>
      <c r="AG24" s="49">
        <v>25</v>
      </c>
      <c r="AH24" s="47">
        <f t="shared" si="2"/>
        <v>26.1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/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/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24</v>
      </c>
      <c r="Z26" s="45">
        <v>24</v>
      </c>
      <c r="AA26" s="45">
        <v>24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24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5</v>
      </c>
      <c r="E27" s="45">
        <v>5</v>
      </c>
      <c r="F27" s="45"/>
      <c r="G27" s="45">
        <v>5</v>
      </c>
      <c r="H27" s="45">
        <v>5</v>
      </c>
      <c r="I27" s="45">
        <v>5</v>
      </c>
      <c r="J27" s="45">
        <v>19</v>
      </c>
      <c r="K27" s="45">
        <v>19</v>
      </c>
      <c r="L27" s="45">
        <v>19</v>
      </c>
      <c r="M27" s="45">
        <v>25</v>
      </c>
      <c r="N27" s="45">
        <v>25</v>
      </c>
      <c r="O27" s="45">
        <v>25</v>
      </c>
      <c r="P27" s="45">
        <v>25</v>
      </c>
      <c r="Q27" s="45">
        <v>25</v>
      </c>
      <c r="R27" s="45">
        <v>25</v>
      </c>
      <c r="S27" s="45">
        <v>25</v>
      </c>
      <c r="T27" s="45">
        <v>25</v>
      </c>
      <c r="U27" s="45">
        <v>25</v>
      </c>
      <c r="V27" s="45">
        <v>8.5</v>
      </c>
      <c r="W27" s="45">
        <v>8.5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13</v>
      </c>
      <c r="AE27" s="45">
        <v>12.5</v>
      </c>
      <c r="AF27" s="45">
        <v>12.5</v>
      </c>
      <c r="AG27" s="49">
        <v>25</v>
      </c>
      <c r="AH27" s="47">
        <f t="shared" si="2"/>
        <v>25</v>
      </c>
      <c r="AI27" s="48">
        <f t="shared" si="3"/>
        <v>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19</v>
      </c>
      <c r="C28" s="45">
        <v>19</v>
      </c>
      <c r="D28" s="45">
        <v>19</v>
      </c>
      <c r="E28" s="45">
        <v>19</v>
      </c>
      <c r="F28" s="45"/>
      <c r="G28" s="45">
        <v>19</v>
      </c>
      <c r="H28" s="45">
        <v>19</v>
      </c>
      <c r="I28" s="45">
        <v>19</v>
      </c>
      <c r="J28" s="45">
        <v>19</v>
      </c>
      <c r="K28" s="45">
        <v>19</v>
      </c>
      <c r="L28" s="45">
        <v>19</v>
      </c>
      <c r="M28" s="45">
        <v>19</v>
      </c>
      <c r="N28" s="45">
        <v>19</v>
      </c>
      <c r="O28" s="45">
        <v>19</v>
      </c>
      <c r="P28" s="45">
        <v>19</v>
      </c>
      <c r="Q28" s="45">
        <v>19</v>
      </c>
      <c r="R28" s="45">
        <v>19</v>
      </c>
      <c r="S28" s="45">
        <v>19</v>
      </c>
      <c r="T28" s="45">
        <v>19</v>
      </c>
      <c r="U28" s="45">
        <v>19</v>
      </c>
      <c r="V28" s="45">
        <v>19</v>
      </c>
      <c r="W28" s="45">
        <v>19</v>
      </c>
      <c r="X28" s="45">
        <v>19</v>
      </c>
      <c r="Y28" s="45">
        <v>19</v>
      </c>
      <c r="Z28" s="45">
        <v>19</v>
      </c>
      <c r="AA28" s="45">
        <v>19</v>
      </c>
      <c r="AB28" s="45">
        <v>25.5</v>
      </c>
      <c r="AC28" s="45">
        <v>25.5</v>
      </c>
      <c r="AD28" s="45">
        <v>25.9</v>
      </c>
      <c r="AE28" s="45">
        <v>25.9</v>
      </c>
      <c r="AF28" s="45">
        <v>25.9</v>
      </c>
      <c r="AG28" s="49">
        <v>23.5</v>
      </c>
      <c r="AH28" s="47">
        <f t="shared" si="2"/>
        <v>25.9</v>
      </c>
      <c r="AI28" s="48">
        <f t="shared" si="3"/>
        <v>19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/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/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/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/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/>
      <c r="G33" s="45">
        <v>0</v>
      </c>
      <c r="H33" s="45">
        <v>0</v>
      </c>
      <c r="I33" s="45">
        <v>0</v>
      </c>
      <c r="J33" s="45">
        <v>0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5</v>
      </c>
      <c r="Q33" s="45">
        <v>5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8</v>
      </c>
      <c r="Y33" s="45">
        <v>8</v>
      </c>
      <c r="Z33" s="45">
        <v>8</v>
      </c>
      <c r="AA33" s="45">
        <v>8</v>
      </c>
      <c r="AB33" s="45">
        <v>8</v>
      </c>
      <c r="AC33" s="45">
        <v>8</v>
      </c>
      <c r="AD33" s="45">
        <v>5</v>
      </c>
      <c r="AE33" s="45">
        <v>0</v>
      </c>
      <c r="AF33" s="45">
        <v>5</v>
      </c>
      <c r="AG33" s="49">
        <v>20</v>
      </c>
      <c r="AH33" s="47">
        <f t="shared" si="2"/>
        <v>8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/>
      <c r="G34" s="45">
        <v>0</v>
      </c>
      <c r="H34" s="45">
        <v>0</v>
      </c>
      <c r="I34" s="45">
        <v>0</v>
      </c>
      <c r="J34" s="45">
        <v>0</v>
      </c>
      <c r="K34" s="45">
        <v>2.5</v>
      </c>
      <c r="L34" s="45">
        <v>2.5</v>
      </c>
      <c r="M34" s="45">
        <v>2.5</v>
      </c>
      <c r="N34" s="45">
        <v>2.5</v>
      </c>
      <c r="O34" s="45">
        <v>2.5</v>
      </c>
      <c r="P34" s="45">
        <v>2.5</v>
      </c>
      <c r="Q34" s="45">
        <v>2.5</v>
      </c>
      <c r="R34" s="45">
        <v>2.5</v>
      </c>
      <c r="S34" s="45">
        <v>2.5</v>
      </c>
      <c r="T34" s="45">
        <v>2.5</v>
      </c>
      <c r="U34" s="45">
        <v>2.5</v>
      </c>
      <c r="V34" s="45">
        <v>2.5</v>
      </c>
      <c r="W34" s="45">
        <v>2.5</v>
      </c>
      <c r="X34" s="45">
        <v>8</v>
      </c>
      <c r="Y34" s="45">
        <v>8</v>
      </c>
      <c r="Z34" s="45">
        <v>8</v>
      </c>
      <c r="AA34" s="45">
        <v>8</v>
      </c>
      <c r="AB34" s="45">
        <v>5</v>
      </c>
      <c r="AC34" s="45">
        <v>5</v>
      </c>
      <c r="AD34" s="45">
        <v>3.5</v>
      </c>
      <c r="AE34" s="45">
        <v>3.5</v>
      </c>
      <c r="AF34" s="45">
        <v>3.5</v>
      </c>
      <c r="AG34" s="49">
        <v>18</v>
      </c>
      <c r="AH34" s="47">
        <f t="shared" si="2"/>
        <v>8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/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15</v>
      </c>
      <c r="X35" s="45">
        <v>15</v>
      </c>
      <c r="Y35" s="45">
        <v>15</v>
      </c>
      <c r="Z35" s="45">
        <v>15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7</v>
      </c>
      <c r="AG35" s="49">
        <v>14.9</v>
      </c>
      <c r="AH35" s="47">
        <f t="shared" si="2"/>
        <v>15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/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0.5</v>
      </c>
      <c r="AG36" s="49">
        <v>14.9</v>
      </c>
      <c r="AH36" s="47">
        <f t="shared" si="2"/>
        <v>0.5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0</v>
      </c>
      <c r="C37" s="45">
        <v>0</v>
      </c>
      <c r="D37" s="45">
        <v>0</v>
      </c>
      <c r="E37" s="45">
        <v>0</v>
      </c>
      <c r="F37" s="45"/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0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45">
        <v>0</v>
      </c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9">
        <v>13.6</v>
      </c>
      <c r="AH37" s="47">
        <f t="shared" si="2"/>
        <v>0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/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</v>
      </c>
      <c r="C39" s="45">
        <v>3</v>
      </c>
      <c r="D39" s="45">
        <v>3</v>
      </c>
      <c r="E39" s="45">
        <v>3</v>
      </c>
      <c r="F39" s="45"/>
      <c r="G39" s="45">
        <v>3</v>
      </c>
      <c r="H39" s="45">
        <v>3</v>
      </c>
      <c r="I39" s="45">
        <v>3</v>
      </c>
      <c r="J39" s="45">
        <v>3</v>
      </c>
      <c r="K39" s="45">
        <v>3</v>
      </c>
      <c r="L39" s="45">
        <v>3</v>
      </c>
      <c r="M39" s="45">
        <v>3</v>
      </c>
      <c r="N39" s="45">
        <v>3</v>
      </c>
      <c r="O39" s="45">
        <v>3</v>
      </c>
      <c r="P39" s="45">
        <v>3</v>
      </c>
      <c r="Q39" s="45">
        <v>3</v>
      </c>
      <c r="R39" s="45">
        <v>3</v>
      </c>
      <c r="S39" s="45">
        <v>12</v>
      </c>
      <c r="T39" s="45">
        <v>12</v>
      </c>
      <c r="U39" s="45">
        <v>12</v>
      </c>
      <c r="V39" s="45">
        <v>4</v>
      </c>
      <c r="W39" s="45">
        <v>4</v>
      </c>
      <c r="X39" s="45">
        <v>4</v>
      </c>
      <c r="Y39" s="45">
        <v>12</v>
      </c>
      <c r="Z39" s="45">
        <v>12</v>
      </c>
      <c r="AA39" s="45">
        <v>12</v>
      </c>
      <c r="AB39" s="45">
        <v>12</v>
      </c>
      <c r="AC39" s="45">
        <v>12</v>
      </c>
      <c r="AD39" s="45">
        <v>6</v>
      </c>
      <c r="AE39" s="45">
        <v>6</v>
      </c>
      <c r="AF39" s="45">
        <v>6</v>
      </c>
      <c r="AG39" s="49">
        <v>12</v>
      </c>
      <c r="AH39" s="47">
        <f t="shared" si="2"/>
        <v>12</v>
      </c>
      <c r="AI39" s="48">
        <f t="shared" si="3"/>
        <v>3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/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/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/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/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/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0</v>
      </c>
      <c r="C45" s="45">
        <v>0</v>
      </c>
      <c r="D45" s="45">
        <v>0</v>
      </c>
      <c r="E45" s="45">
        <v>0</v>
      </c>
      <c r="F45" s="45"/>
      <c r="G45" s="45">
        <v>0</v>
      </c>
      <c r="H45" s="45">
        <v>0</v>
      </c>
      <c r="I45" s="45">
        <v>0</v>
      </c>
      <c r="J45" s="45">
        <v>0</v>
      </c>
      <c r="K45" s="45">
        <v>0</v>
      </c>
      <c r="L45" s="45">
        <v>0</v>
      </c>
      <c r="M45" s="45">
        <v>0</v>
      </c>
      <c r="N45" s="45">
        <v>0</v>
      </c>
      <c r="O45" s="45">
        <v>0</v>
      </c>
      <c r="P45" s="45">
        <v>0</v>
      </c>
      <c r="Q45" s="45">
        <v>0</v>
      </c>
      <c r="R45" s="45">
        <v>0</v>
      </c>
      <c r="S45" s="45">
        <v>5</v>
      </c>
      <c r="T45" s="45">
        <v>5</v>
      </c>
      <c r="U45" s="45">
        <v>5</v>
      </c>
      <c r="V45" s="45">
        <v>5</v>
      </c>
      <c r="W45" s="45">
        <v>5</v>
      </c>
      <c r="X45" s="45">
        <v>5</v>
      </c>
      <c r="Y45" s="45">
        <v>5</v>
      </c>
      <c r="Z45" s="45">
        <v>5</v>
      </c>
      <c r="AA45" s="45">
        <v>5</v>
      </c>
      <c r="AB45" s="45">
        <v>5</v>
      </c>
      <c r="AC45" s="45">
        <v>5</v>
      </c>
      <c r="AD45" s="45">
        <v>5</v>
      </c>
      <c r="AE45" s="45">
        <v>5</v>
      </c>
      <c r="AF45" s="45">
        <v>5</v>
      </c>
      <c r="AG45" s="54">
        <v>10</v>
      </c>
      <c r="AH45" s="47">
        <f t="shared" si="2"/>
        <v>5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/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54">
        <v>10</v>
      </c>
      <c r="AH46" s="47">
        <f t="shared" si="2"/>
        <v>9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/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/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120</v>
      </c>
      <c r="C49" s="56">
        <v>120</v>
      </c>
      <c r="D49" s="56">
        <v>120</v>
      </c>
      <c r="E49" s="56">
        <v>120</v>
      </c>
      <c r="F49" s="56"/>
      <c r="G49" s="56">
        <v>100</v>
      </c>
      <c r="H49" s="58">
        <v>100</v>
      </c>
      <c r="I49" s="58">
        <v>100</v>
      </c>
      <c r="J49" s="58">
        <v>121</v>
      </c>
      <c r="K49" s="58">
        <v>121</v>
      </c>
      <c r="L49" s="58">
        <v>121</v>
      </c>
      <c r="M49" s="58">
        <v>121</v>
      </c>
      <c r="N49" s="58">
        <f>33.7+86.7</f>
        <v>120.4</v>
      </c>
      <c r="O49" s="58">
        <f>33.7+86.7</f>
        <v>120.4</v>
      </c>
      <c r="P49" s="58">
        <f>33.7+86.7</f>
        <v>120.4</v>
      </c>
      <c r="Q49" s="58">
        <f>33.7+86.7</f>
        <v>120.4</v>
      </c>
      <c r="R49" s="58">
        <v>124</v>
      </c>
      <c r="S49" s="58">
        <f>34.3+90.6</f>
        <v>124.89999999999999</v>
      </c>
      <c r="T49" s="58">
        <f>34.3+90.6</f>
        <v>124.89999999999999</v>
      </c>
      <c r="U49" s="58">
        <v>124.1</v>
      </c>
      <c r="V49" s="58">
        <v>124.1</v>
      </c>
      <c r="W49" s="58">
        <v>124.1</v>
      </c>
      <c r="X49" s="58">
        <v>124.1</v>
      </c>
      <c r="Y49" s="56">
        <v>124.1</v>
      </c>
      <c r="Z49" s="56">
        <v>124.1</v>
      </c>
      <c r="AA49" s="56">
        <v>121.5</v>
      </c>
      <c r="AB49" s="56">
        <f>88.8+33.6</f>
        <v>122.4</v>
      </c>
      <c r="AC49" s="56">
        <f>89.1+33.8</f>
        <v>122.89999999999999</v>
      </c>
      <c r="AD49" s="56">
        <v>124</v>
      </c>
      <c r="AE49" s="56">
        <v>126</v>
      </c>
      <c r="AF49" s="56">
        <v>126</v>
      </c>
      <c r="AG49" s="54">
        <v>240</v>
      </c>
      <c r="AH49" s="47">
        <f t="shared" si="2"/>
        <v>126</v>
      </c>
      <c r="AI49" s="48">
        <f t="shared" si="3"/>
        <v>100</v>
      </c>
      <c r="AK49" s="50"/>
    </row>
    <row r="50" spans="1:41" ht="15.75" thickBot="1" x14ac:dyDescent="0.3">
      <c r="A50" s="59" t="s">
        <v>58</v>
      </c>
      <c r="B50" s="60">
        <f>SUM(B11:B48)</f>
        <v>1058.2</v>
      </c>
      <c r="C50" s="60">
        <f t="shared" ref="C50:AF50" si="4">SUM(C11:C48)</f>
        <v>1079.2</v>
      </c>
      <c r="D50" s="60">
        <f>SUM(D11:D48)</f>
        <v>1079.2</v>
      </c>
      <c r="E50" s="60">
        <f>SUM(E11:E48)</f>
        <v>1079.2</v>
      </c>
      <c r="F50" s="60"/>
      <c r="G50" s="60">
        <f>SUM(G11:G48)</f>
        <v>982.8</v>
      </c>
      <c r="H50" s="60">
        <f t="shared" si="4"/>
        <v>987.8</v>
      </c>
      <c r="I50" s="60">
        <f>SUM(I11:I48)</f>
        <v>1044.5999999999999</v>
      </c>
      <c r="J50" s="60">
        <f>SUM(J11:J48)</f>
        <v>1091.5999999999999</v>
      </c>
      <c r="K50" s="60">
        <f t="shared" si="4"/>
        <v>1099.0999999999999</v>
      </c>
      <c r="L50" s="60">
        <f>SUM(L11:L48)</f>
        <v>1112.7</v>
      </c>
      <c r="M50" s="60">
        <f t="shared" si="4"/>
        <v>1131.5</v>
      </c>
      <c r="N50" s="60">
        <f t="shared" si="4"/>
        <v>1131.5</v>
      </c>
      <c r="O50" s="60">
        <f t="shared" si="4"/>
        <v>1069.5</v>
      </c>
      <c r="P50" s="60">
        <f t="shared" si="4"/>
        <v>1069.5</v>
      </c>
      <c r="Q50" s="60">
        <f t="shared" si="4"/>
        <v>1094.7</v>
      </c>
      <c r="R50" s="60">
        <f t="shared" si="4"/>
        <v>1071.5999999999999</v>
      </c>
      <c r="S50" s="60">
        <f t="shared" si="4"/>
        <v>1066.7</v>
      </c>
      <c r="T50" s="60">
        <f t="shared" si="4"/>
        <v>1066.7</v>
      </c>
      <c r="U50" s="60">
        <f t="shared" si="4"/>
        <v>1092.0999999999999</v>
      </c>
      <c r="V50" s="60">
        <f t="shared" si="4"/>
        <v>1029.5999999999999</v>
      </c>
      <c r="W50" s="60">
        <f t="shared" si="4"/>
        <v>1044.5999999999999</v>
      </c>
      <c r="X50" s="60">
        <f t="shared" si="4"/>
        <v>1145.5999999999999</v>
      </c>
      <c r="Y50" s="60">
        <f t="shared" si="4"/>
        <v>1152.5999999999999</v>
      </c>
      <c r="Z50" s="60">
        <f t="shared" si="4"/>
        <v>1152.5999999999999</v>
      </c>
      <c r="AA50" s="60">
        <f>SUM(AA11:AA48)</f>
        <v>1137.5999999999999</v>
      </c>
      <c r="AB50" s="60">
        <f t="shared" si="4"/>
        <v>1171.5999999999999</v>
      </c>
      <c r="AC50" s="60">
        <f t="shared" si="4"/>
        <v>1171.5999999999999</v>
      </c>
      <c r="AD50" s="60">
        <f t="shared" si="4"/>
        <v>1131.5</v>
      </c>
      <c r="AE50" s="60">
        <f>SUM(AE11:AE48)</f>
        <v>1115.5</v>
      </c>
      <c r="AF50" s="60">
        <f t="shared" si="4"/>
        <v>1128</v>
      </c>
      <c r="AG50" s="61">
        <f>SUM(AG13:AG48)</f>
        <v>922.14</v>
      </c>
      <c r="AH50" s="47">
        <f t="shared" si="2"/>
        <v>1171.5999999999999</v>
      </c>
      <c r="AI50" s="48">
        <f t="shared" si="3"/>
        <v>982.8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/>
      <c r="G51" s="45">
        <v>380</v>
      </c>
      <c r="H51" s="45">
        <v>380</v>
      </c>
      <c r="I51" s="45">
        <v>380</v>
      </c>
      <c r="J51" s="45">
        <v>380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380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/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/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>SUM(B51:B53)</f>
        <v>538.4</v>
      </c>
      <c r="C54" s="60">
        <f t="shared" ref="C54:AG54" si="5">SUM(C51:C53)</f>
        <v>538.4</v>
      </c>
      <c r="D54" s="60">
        <f>SUM(D51:D53)</f>
        <v>538.4</v>
      </c>
      <c r="E54" s="60">
        <f>SUM(E51:E53)</f>
        <v>538.4</v>
      </c>
      <c r="F54" s="60"/>
      <c r="G54" s="60">
        <f>SUM(G51:G53)</f>
        <v>462.4</v>
      </c>
      <c r="H54" s="60">
        <f t="shared" si="5"/>
        <v>462.4</v>
      </c>
      <c r="I54" s="60">
        <f>SUM(I51:I53)</f>
        <v>462.4</v>
      </c>
      <c r="J54" s="60">
        <f>SUM(J51:J53)</f>
        <v>462.4</v>
      </c>
      <c r="K54" s="60">
        <f t="shared" si="5"/>
        <v>538.4</v>
      </c>
      <c r="L54" s="60">
        <f>SUM(L51:L53)</f>
        <v>538.4</v>
      </c>
      <c r="M54" s="60">
        <f t="shared" si="5"/>
        <v>538.4</v>
      </c>
      <c r="N54" s="60">
        <f t="shared" si="5"/>
        <v>538.4</v>
      </c>
      <c r="O54" s="60">
        <f t="shared" si="5"/>
        <v>538.4</v>
      </c>
      <c r="P54" s="60">
        <f t="shared" si="5"/>
        <v>538.4</v>
      </c>
      <c r="Q54" s="60">
        <f t="shared" si="5"/>
        <v>538.4</v>
      </c>
      <c r="R54" s="60">
        <f t="shared" si="5"/>
        <v>538.4</v>
      </c>
      <c r="S54" s="60">
        <f t="shared" si="5"/>
        <v>538.4</v>
      </c>
      <c r="T54" s="60">
        <f t="shared" si="5"/>
        <v>538.4</v>
      </c>
      <c r="U54" s="60">
        <f t="shared" si="5"/>
        <v>538.4</v>
      </c>
      <c r="V54" s="60">
        <f t="shared" si="5"/>
        <v>538.4</v>
      </c>
      <c r="W54" s="60">
        <f t="shared" si="5"/>
        <v>538.4</v>
      </c>
      <c r="X54" s="60">
        <f t="shared" si="5"/>
        <v>538.4</v>
      </c>
      <c r="Y54" s="60">
        <f t="shared" si="5"/>
        <v>538.4</v>
      </c>
      <c r="Z54" s="60">
        <f t="shared" si="5"/>
        <v>538.4</v>
      </c>
      <c r="AA54" s="60">
        <f>SUM(AA51:AA53)</f>
        <v>538.4</v>
      </c>
      <c r="AB54" s="60">
        <f t="shared" si="5"/>
        <v>538.4</v>
      </c>
      <c r="AC54" s="60">
        <f t="shared" si="5"/>
        <v>538.4</v>
      </c>
      <c r="AD54" s="60">
        <f t="shared" si="5"/>
        <v>538.4</v>
      </c>
      <c r="AE54" s="60">
        <f t="shared" si="5"/>
        <v>538.4</v>
      </c>
      <c r="AF54" s="60">
        <f t="shared" si="5"/>
        <v>538.4</v>
      </c>
      <c r="AG54" s="61">
        <f t="shared" si="5"/>
        <v>538.1</v>
      </c>
      <c r="AH54" s="47">
        <f t="shared" si="2"/>
        <v>538.4</v>
      </c>
      <c r="AI54" s="48">
        <f t="shared" si="3"/>
        <v>462.4</v>
      </c>
      <c r="AK54" s="50"/>
    </row>
    <row r="55" spans="1:41" x14ac:dyDescent="0.25">
      <c r="A55" s="44" t="s">
        <v>63</v>
      </c>
      <c r="B55" s="45">
        <v>131</v>
      </c>
      <c r="C55" s="45">
        <v>131</v>
      </c>
      <c r="D55" s="45">
        <v>131</v>
      </c>
      <c r="E55" s="45">
        <v>131</v>
      </c>
      <c r="F55" s="45"/>
      <c r="G55" s="45">
        <v>131.4</v>
      </c>
      <c r="H55" s="45">
        <v>131.19999999999999</v>
      </c>
      <c r="I55" s="45">
        <v>131.19999999999999</v>
      </c>
      <c r="J55" s="45">
        <v>131.19999999999999</v>
      </c>
      <c r="K55" s="45">
        <v>131.19999999999999</v>
      </c>
      <c r="L55" s="45">
        <v>132.6</v>
      </c>
      <c r="M55" s="45">
        <v>132.4</v>
      </c>
      <c r="N55" s="45">
        <v>143.4</v>
      </c>
      <c r="O55" s="45">
        <v>143.4</v>
      </c>
      <c r="P55" s="45">
        <v>143.4</v>
      </c>
      <c r="Q55" s="45">
        <v>143.4</v>
      </c>
      <c r="R55" s="45">
        <v>146.19999999999999</v>
      </c>
      <c r="S55" s="45">
        <v>146.19999999999999</v>
      </c>
      <c r="T55" s="45">
        <v>146.19999999999999</v>
      </c>
      <c r="U55" s="45">
        <v>146.19999999999999</v>
      </c>
      <c r="V55" s="45">
        <v>146.19999999999999</v>
      </c>
      <c r="W55" s="45">
        <v>146.19999999999999</v>
      </c>
      <c r="X55" s="45">
        <v>146.19999999999999</v>
      </c>
      <c r="Y55" s="45">
        <v>147</v>
      </c>
      <c r="Z55" s="45">
        <v>147</v>
      </c>
      <c r="AA55" s="45">
        <v>147</v>
      </c>
      <c r="AB55" s="45">
        <v>146.80000000000001</v>
      </c>
      <c r="AC55" s="45">
        <v>146.80000000000001</v>
      </c>
      <c r="AD55" s="45">
        <v>146.74</v>
      </c>
      <c r="AE55" s="45">
        <v>146.6</v>
      </c>
      <c r="AF55" s="45">
        <v>146.6</v>
      </c>
      <c r="AG55" s="51">
        <v>144</v>
      </c>
      <c r="AH55" s="47">
        <f t="shared" si="2"/>
        <v>147</v>
      </c>
      <c r="AI55" s="48">
        <f t="shared" si="3"/>
        <v>131</v>
      </c>
      <c r="AK55" s="50"/>
    </row>
    <row r="56" spans="1:41" x14ac:dyDescent="0.25">
      <c r="A56" s="53" t="s">
        <v>64</v>
      </c>
      <c r="B56" s="64">
        <v>50</v>
      </c>
      <c r="C56" s="64">
        <v>50</v>
      </c>
      <c r="D56" s="64">
        <v>50</v>
      </c>
      <c r="E56" s="64">
        <v>50</v>
      </c>
      <c r="F56" s="64"/>
      <c r="G56" s="64">
        <v>48.1</v>
      </c>
      <c r="H56" s="64">
        <v>68.400000000000006</v>
      </c>
      <c r="I56" s="64">
        <v>68.400000000000006</v>
      </c>
      <c r="J56" s="64">
        <v>68.400000000000006</v>
      </c>
      <c r="K56" s="64">
        <v>68.400000000000006</v>
      </c>
      <c r="L56" s="64">
        <v>71</v>
      </c>
      <c r="M56" s="64">
        <v>71</v>
      </c>
      <c r="N56" s="64">
        <v>69.7</v>
      </c>
      <c r="O56" s="64">
        <v>69.7</v>
      </c>
      <c r="P56" s="64">
        <v>69.7</v>
      </c>
      <c r="Q56" s="64">
        <v>69.7</v>
      </c>
      <c r="R56" s="64">
        <v>71.099999999999994</v>
      </c>
      <c r="S56" s="45">
        <v>70</v>
      </c>
      <c r="T56" s="45">
        <v>70</v>
      </c>
      <c r="U56" s="45">
        <v>70</v>
      </c>
      <c r="V56" s="45">
        <v>70</v>
      </c>
      <c r="W56" s="45">
        <v>70</v>
      </c>
      <c r="X56" s="45">
        <v>70</v>
      </c>
      <c r="Y56" s="45">
        <v>70</v>
      </c>
      <c r="Z56" s="45">
        <v>70</v>
      </c>
      <c r="AA56" s="45">
        <v>70</v>
      </c>
      <c r="AB56" s="45">
        <v>69.099999999999994</v>
      </c>
      <c r="AC56" s="45">
        <v>69.099999999999994</v>
      </c>
      <c r="AD56" s="64">
        <v>70.400000000000006</v>
      </c>
      <c r="AE56" s="45">
        <v>68.5</v>
      </c>
      <c r="AF56" s="45">
        <v>68.5</v>
      </c>
      <c r="AG56" s="54">
        <v>70</v>
      </c>
      <c r="AH56" s="47">
        <f t="shared" si="2"/>
        <v>71.099999999999994</v>
      </c>
      <c r="AI56" s="48">
        <f t="shared" si="3"/>
        <v>48.1</v>
      </c>
      <c r="AK56" s="50"/>
    </row>
    <row r="57" spans="1:41" x14ac:dyDescent="0.25">
      <c r="A57" s="53" t="s">
        <v>65</v>
      </c>
      <c r="B57" s="64">
        <v>51</v>
      </c>
      <c r="C57" s="64">
        <v>51</v>
      </c>
      <c r="D57" s="64">
        <v>51</v>
      </c>
      <c r="E57" s="64">
        <v>51</v>
      </c>
      <c r="F57" s="64"/>
      <c r="G57" s="64">
        <v>63</v>
      </c>
      <c r="H57" s="64">
        <v>62.2</v>
      </c>
      <c r="I57" s="64">
        <v>62.2</v>
      </c>
      <c r="J57" s="64">
        <v>62.2</v>
      </c>
      <c r="K57" s="64">
        <v>62.2</v>
      </c>
      <c r="L57" s="64">
        <v>68.900000000000006</v>
      </c>
      <c r="M57" s="64">
        <v>68.900000000000006</v>
      </c>
      <c r="N57" s="64">
        <v>67.5</v>
      </c>
      <c r="O57" s="64">
        <v>67.5</v>
      </c>
      <c r="P57" s="64">
        <v>67.5</v>
      </c>
      <c r="Q57" s="64">
        <v>67.5</v>
      </c>
      <c r="R57" s="64">
        <v>66.8</v>
      </c>
      <c r="S57" s="45">
        <v>67</v>
      </c>
      <c r="T57" s="45">
        <v>67</v>
      </c>
      <c r="U57" s="45">
        <v>67</v>
      </c>
      <c r="V57" s="45">
        <v>67</v>
      </c>
      <c r="W57" s="45">
        <v>67</v>
      </c>
      <c r="X57" s="45">
        <v>67</v>
      </c>
      <c r="Y57" s="45">
        <v>67</v>
      </c>
      <c r="Z57" s="45">
        <v>67</v>
      </c>
      <c r="AA57" s="45">
        <v>67</v>
      </c>
      <c r="AB57" s="45">
        <v>67.099999999999994</v>
      </c>
      <c r="AC57" s="45">
        <v>67.099999999999994</v>
      </c>
      <c r="AD57" s="64">
        <v>67</v>
      </c>
      <c r="AE57" s="45">
        <v>67.7</v>
      </c>
      <c r="AF57" s="45">
        <v>67.7</v>
      </c>
      <c r="AG57" s="54">
        <v>69</v>
      </c>
      <c r="AH57" s="47">
        <f t="shared" si="2"/>
        <v>68.900000000000006</v>
      </c>
      <c r="AI57" s="48">
        <f t="shared" si="3"/>
        <v>51</v>
      </c>
      <c r="AK57" s="50"/>
    </row>
    <row r="58" spans="1:41" x14ac:dyDescent="0.25">
      <c r="A58" s="53" t="s">
        <v>66</v>
      </c>
      <c r="B58" s="64">
        <v>46</v>
      </c>
      <c r="C58" s="64">
        <v>46</v>
      </c>
      <c r="D58" s="64">
        <v>46</v>
      </c>
      <c r="E58" s="64">
        <v>46</v>
      </c>
      <c r="F58" s="64"/>
      <c r="G58" s="64">
        <v>0</v>
      </c>
      <c r="H58" s="64">
        <v>32</v>
      </c>
      <c r="I58" s="64">
        <v>32</v>
      </c>
      <c r="J58" s="64">
        <v>32</v>
      </c>
      <c r="K58" s="64">
        <v>32</v>
      </c>
      <c r="L58" s="64">
        <v>60.9</v>
      </c>
      <c r="M58" s="64">
        <v>60.9</v>
      </c>
      <c r="N58" s="64">
        <v>60.2</v>
      </c>
      <c r="O58" s="64">
        <v>60.2</v>
      </c>
      <c r="P58" s="64">
        <v>60.2</v>
      </c>
      <c r="Q58" s="64">
        <v>60.2</v>
      </c>
      <c r="R58" s="64">
        <v>60</v>
      </c>
      <c r="S58" s="45">
        <v>60.2</v>
      </c>
      <c r="T58" s="45">
        <v>60.2</v>
      </c>
      <c r="U58" s="45">
        <v>60.2</v>
      </c>
      <c r="V58" s="45">
        <v>60.2</v>
      </c>
      <c r="W58" s="45">
        <v>60.2</v>
      </c>
      <c r="X58" s="45">
        <v>60.2</v>
      </c>
      <c r="Y58" s="45">
        <v>60.2</v>
      </c>
      <c r="Z58" s="45">
        <v>60.2</v>
      </c>
      <c r="AA58" s="45">
        <v>60.2</v>
      </c>
      <c r="AB58" s="45">
        <v>60.4</v>
      </c>
      <c r="AC58" s="45">
        <v>60.4</v>
      </c>
      <c r="AD58" s="64">
        <v>60.4</v>
      </c>
      <c r="AE58" s="45">
        <v>60.7</v>
      </c>
      <c r="AF58" s="45">
        <v>60.7</v>
      </c>
      <c r="AG58" s="54">
        <v>60</v>
      </c>
      <c r="AH58" s="47">
        <f t="shared" si="2"/>
        <v>60.9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/>
      <c r="G59" s="64">
        <v>29</v>
      </c>
      <c r="H59" s="64">
        <v>29</v>
      </c>
      <c r="I59" s="64">
        <v>29</v>
      </c>
      <c r="J59" s="64">
        <v>29</v>
      </c>
      <c r="K59" s="64">
        <v>29</v>
      </c>
      <c r="L59" s="64">
        <v>29</v>
      </c>
      <c r="M59" s="64">
        <v>29</v>
      </c>
      <c r="N59" s="64">
        <v>29</v>
      </c>
      <c r="O59" s="64">
        <v>0</v>
      </c>
      <c r="P59" s="64">
        <v>0</v>
      </c>
      <c r="Q59" s="64">
        <v>0</v>
      </c>
      <c r="R59" s="64">
        <v>0</v>
      </c>
      <c r="S59" s="45">
        <v>0</v>
      </c>
      <c r="T59" s="45">
        <v>0</v>
      </c>
      <c r="U59" s="45">
        <v>0</v>
      </c>
      <c r="V59" s="45">
        <v>30</v>
      </c>
      <c r="W59" s="45">
        <v>30</v>
      </c>
      <c r="X59" s="45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/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1.1000000000000001</v>
      </c>
      <c r="M60" s="64">
        <v>2</v>
      </c>
      <c r="N60" s="64">
        <v>4</v>
      </c>
      <c r="O60" s="64">
        <v>4</v>
      </c>
      <c r="P60" s="64">
        <v>4</v>
      </c>
      <c r="Q60" s="64">
        <v>4</v>
      </c>
      <c r="R60" s="64">
        <v>4</v>
      </c>
      <c r="S60" s="45">
        <v>2.8</v>
      </c>
      <c r="T60" s="45">
        <v>2.8</v>
      </c>
      <c r="U60" s="45">
        <v>1</v>
      </c>
      <c r="V60" s="45">
        <v>1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4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/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17</v>
      </c>
      <c r="M61" s="64">
        <v>17</v>
      </c>
      <c r="N61" s="64">
        <v>17</v>
      </c>
      <c r="O61" s="64">
        <v>17</v>
      </c>
      <c r="P61" s="64">
        <v>17</v>
      </c>
      <c r="Q61" s="64">
        <v>17</v>
      </c>
      <c r="R61" s="64">
        <v>17</v>
      </c>
      <c r="S61" s="64">
        <v>17</v>
      </c>
      <c r="T61" s="64">
        <v>17</v>
      </c>
      <c r="U61" s="64">
        <v>17</v>
      </c>
      <c r="V61" s="64">
        <v>17</v>
      </c>
      <c r="W61" s="64">
        <v>17</v>
      </c>
      <c r="X61" s="64">
        <v>17</v>
      </c>
      <c r="Y61" s="64">
        <v>17</v>
      </c>
      <c r="Z61" s="64">
        <v>17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17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/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12</v>
      </c>
      <c r="C63" s="64">
        <v>12</v>
      </c>
      <c r="D63" s="64">
        <v>12</v>
      </c>
      <c r="E63" s="64">
        <v>12</v>
      </c>
      <c r="F63" s="64"/>
      <c r="G63" s="64">
        <v>12</v>
      </c>
      <c r="H63" s="64">
        <v>12</v>
      </c>
      <c r="I63" s="64">
        <v>12</v>
      </c>
      <c r="J63" s="64">
        <v>12</v>
      </c>
      <c r="K63" s="64">
        <v>12</v>
      </c>
      <c r="L63" s="64">
        <v>12</v>
      </c>
      <c r="M63" s="64">
        <v>12</v>
      </c>
      <c r="N63" s="64">
        <v>12</v>
      </c>
      <c r="O63" s="64">
        <v>12</v>
      </c>
      <c r="P63" s="64">
        <v>12</v>
      </c>
      <c r="Q63" s="64">
        <v>12</v>
      </c>
      <c r="R63" s="64">
        <v>12</v>
      </c>
      <c r="S63" s="64">
        <v>12</v>
      </c>
      <c r="T63" s="64">
        <v>12</v>
      </c>
      <c r="U63" s="64">
        <v>12</v>
      </c>
      <c r="V63" s="64">
        <v>12</v>
      </c>
      <c r="W63" s="64">
        <v>12</v>
      </c>
      <c r="X63" s="64">
        <v>12</v>
      </c>
      <c r="Y63" s="64">
        <v>12</v>
      </c>
      <c r="Z63" s="64">
        <v>12</v>
      </c>
      <c r="AA63" s="64">
        <v>12</v>
      </c>
      <c r="AB63" s="64">
        <v>12.6</v>
      </c>
      <c r="AC63" s="64">
        <v>12.6</v>
      </c>
      <c r="AD63" s="64">
        <v>12.6</v>
      </c>
      <c r="AE63" s="64">
        <v>12.6</v>
      </c>
      <c r="AF63" s="64">
        <v>12.6</v>
      </c>
      <c r="AG63" s="54">
        <v>14.1</v>
      </c>
      <c r="AH63" s="47">
        <f t="shared" si="2"/>
        <v>12.6</v>
      </c>
      <c r="AI63" s="48">
        <f t="shared" si="3"/>
        <v>12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13.8</v>
      </c>
      <c r="C64" s="64">
        <v>13.8</v>
      </c>
      <c r="D64" s="64">
        <v>13.8</v>
      </c>
      <c r="E64" s="64">
        <v>13.8</v>
      </c>
      <c r="F64" s="64"/>
      <c r="G64" s="64">
        <v>13.8</v>
      </c>
      <c r="H64" s="64">
        <v>13.8</v>
      </c>
      <c r="I64" s="64">
        <v>13.8</v>
      </c>
      <c r="J64" s="64">
        <v>13.8</v>
      </c>
      <c r="K64" s="64">
        <v>13.8</v>
      </c>
      <c r="L64" s="64">
        <v>13.8</v>
      </c>
      <c r="M64" s="64">
        <v>13.8</v>
      </c>
      <c r="N64" s="64">
        <v>13.8</v>
      </c>
      <c r="O64" s="64">
        <v>13.8</v>
      </c>
      <c r="P64" s="64">
        <v>13.8</v>
      </c>
      <c r="Q64" s="64">
        <v>13.8</v>
      </c>
      <c r="R64" s="64">
        <v>13.8</v>
      </c>
      <c r="S64" s="64">
        <v>13.8</v>
      </c>
      <c r="T64" s="64">
        <v>13.8</v>
      </c>
      <c r="U64" s="64">
        <v>13.8</v>
      </c>
      <c r="V64" s="64">
        <v>13.8</v>
      </c>
      <c r="W64" s="64">
        <v>13.8</v>
      </c>
      <c r="X64" s="64">
        <v>13.8</v>
      </c>
      <c r="Y64" s="64">
        <v>13.8</v>
      </c>
      <c r="Z64" s="64">
        <v>13.8</v>
      </c>
      <c r="AA64" s="64">
        <v>13.8</v>
      </c>
      <c r="AB64" s="64">
        <v>13.9</v>
      </c>
      <c r="AC64" s="64">
        <v>13.9</v>
      </c>
      <c r="AD64" s="64">
        <v>13.9</v>
      </c>
      <c r="AE64" s="64">
        <v>13.9</v>
      </c>
      <c r="AF64" s="64">
        <v>13.9</v>
      </c>
      <c r="AG64" s="54">
        <v>14</v>
      </c>
      <c r="AH64" s="47">
        <f t="shared" si="2"/>
        <v>13.9</v>
      </c>
      <c r="AI64" s="48">
        <f t="shared" si="3"/>
        <v>13.8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/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/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/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371.54</v>
      </c>
      <c r="C68" s="60">
        <f t="shared" ref="C68:AG68" si="6">SUM(C55:C67)</f>
        <v>371.54</v>
      </c>
      <c r="D68" s="60">
        <f>SUM(D55:D67)</f>
        <v>371.54</v>
      </c>
      <c r="E68" s="60">
        <f>SUM(E55:E67)</f>
        <v>371.54</v>
      </c>
      <c r="F68" s="60">
        <f>SUM(F55:F67)</f>
        <v>0</v>
      </c>
      <c r="G68" s="60">
        <f>SUM(G55:G67)</f>
        <v>336.04</v>
      </c>
      <c r="H68" s="60">
        <f t="shared" si="6"/>
        <v>387.34000000000003</v>
      </c>
      <c r="I68" s="60">
        <f>SUM(I55:I67)</f>
        <v>387.34000000000003</v>
      </c>
      <c r="J68" s="60">
        <f>SUM(J55:J67)</f>
        <v>387.34000000000003</v>
      </c>
      <c r="K68" s="60">
        <f>SUM(K55:K67)</f>
        <v>387.34000000000003</v>
      </c>
      <c r="L68" s="60">
        <f>SUM(L55:L67)</f>
        <v>430.04</v>
      </c>
      <c r="M68" s="60">
        <f>SUM(M55:M67)</f>
        <v>430.74</v>
      </c>
      <c r="N68" s="60">
        <f t="shared" si="6"/>
        <v>440.34000000000003</v>
      </c>
      <c r="O68" s="60">
        <f t="shared" si="6"/>
        <v>411.34000000000003</v>
      </c>
      <c r="P68" s="60">
        <f t="shared" si="6"/>
        <v>411.34000000000003</v>
      </c>
      <c r="Q68" s="60">
        <f t="shared" si="6"/>
        <v>411.34000000000003</v>
      </c>
      <c r="R68" s="60">
        <f t="shared" si="6"/>
        <v>414.64</v>
      </c>
      <c r="S68" s="60">
        <f t="shared" si="6"/>
        <v>412.74</v>
      </c>
      <c r="T68" s="60">
        <f t="shared" si="6"/>
        <v>412.74</v>
      </c>
      <c r="U68" s="60">
        <f t="shared" si="6"/>
        <v>410.94</v>
      </c>
      <c r="V68" s="60">
        <f t="shared" si="6"/>
        <v>440.94</v>
      </c>
      <c r="W68" s="60">
        <f t="shared" si="6"/>
        <v>439.94</v>
      </c>
      <c r="X68" s="60">
        <f t="shared" si="6"/>
        <v>439.94</v>
      </c>
      <c r="Y68" s="60">
        <f t="shared" si="6"/>
        <v>440.74</v>
      </c>
      <c r="Z68" s="60">
        <f t="shared" si="6"/>
        <v>440.74</v>
      </c>
      <c r="AA68" s="60">
        <f>SUM(AA55:AA67)</f>
        <v>438.74</v>
      </c>
      <c r="AB68" s="60">
        <f t="shared" si="6"/>
        <v>438.64</v>
      </c>
      <c r="AC68" s="60">
        <f t="shared" si="6"/>
        <v>438.64</v>
      </c>
      <c r="AD68" s="60">
        <f t="shared" si="6"/>
        <v>439.78</v>
      </c>
      <c r="AE68" s="60">
        <f t="shared" si="6"/>
        <v>438.74</v>
      </c>
      <c r="AF68" s="60">
        <f t="shared" si="6"/>
        <v>438.74</v>
      </c>
      <c r="AG68" s="61">
        <f t="shared" si="6"/>
        <v>489.91</v>
      </c>
      <c r="AH68" s="47">
        <f t="shared" si="2"/>
        <v>440.94</v>
      </c>
      <c r="AI68" s="48">
        <f t="shared" si="3"/>
        <v>0</v>
      </c>
      <c r="AK68" s="50"/>
    </row>
    <row r="69" spans="1:40" x14ac:dyDescent="0.25">
      <c r="A69" s="44" t="s">
        <v>77</v>
      </c>
      <c r="B69" s="45">
        <v>14</v>
      </c>
      <c r="C69" s="45">
        <v>0</v>
      </c>
      <c r="D69" s="45">
        <v>0</v>
      </c>
      <c r="E69" s="45">
        <v>0</v>
      </c>
      <c r="F69" s="45"/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10</v>
      </c>
      <c r="O69" s="45">
        <v>10</v>
      </c>
      <c r="P69" s="45">
        <v>20</v>
      </c>
      <c r="Q69" s="45">
        <v>0</v>
      </c>
      <c r="R69" s="45">
        <v>0</v>
      </c>
      <c r="S69" s="45">
        <v>0</v>
      </c>
      <c r="T69" s="45">
        <v>14</v>
      </c>
      <c r="U69" s="45"/>
      <c r="V69" s="45"/>
      <c r="W69" s="45"/>
      <c r="X69" s="45">
        <v>34</v>
      </c>
      <c r="Y69" s="45">
        <v>40</v>
      </c>
      <c r="Z69" s="45">
        <v>10</v>
      </c>
      <c r="AA69" s="45">
        <v>30</v>
      </c>
      <c r="AB69" s="45">
        <v>10</v>
      </c>
      <c r="AC69" s="45">
        <v>45</v>
      </c>
      <c r="AD69" s="45">
        <v>14</v>
      </c>
      <c r="AE69" s="45">
        <v>0</v>
      </c>
      <c r="AF69" s="45">
        <v>0</v>
      </c>
      <c r="AG69" s="51">
        <v>60</v>
      </c>
      <c r="AH69" s="47">
        <f t="shared" si="2"/>
        <v>45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7</v>
      </c>
      <c r="C70" s="45">
        <v>0</v>
      </c>
      <c r="D70" s="45">
        <v>0</v>
      </c>
      <c r="E70" s="45">
        <v>0</v>
      </c>
      <c r="F70" s="45"/>
      <c r="G70" s="45">
        <v>0</v>
      </c>
      <c r="H70" s="64">
        <v>0</v>
      </c>
      <c r="I70" s="64">
        <v>0</v>
      </c>
      <c r="J70" s="64">
        <v>0</v>
      </c>
      <c r="K70" s="64">
        <v>0</v>
      </c>
      <c r="L70" s="64">
        <v>0</v>
      </c>
      <c r="M70" s="64">
        <v>0</v>
      </c>
      <c r="N70" s="64">
        <v>4.3</v>
      </c>
      <c r="O70" s="64">
        <v>6.4</v>
      </c>
      <c r="P70" s="64">
        <v>9.6</v>
      </c>
      <c r="Q70" s="64">
        <v>0</v>
      </c>
      <c r="R70" s="64">
        <v>0</v>
      </c>
      <c r="S70" s="64">
        <v>0</v>
      </c>
      <c r="T70" s="64">
        <v>5.0999999999999996</v>
      </c>
      <c r="U70" s="64"/>
      <c r="V70" s="64"/>
      <c r="W70" s="64"/>
      <c r="X70" s="64">
        <v>4.8</v>
      </c>
      <c r="Y70" s="64">
        <v>20</v>
      </c>
      <c r="Z70" s="64">
        <v>9.6999999999999993</v>
      </c>
      <c r="AA70" s="64">
        <v>11.5</v>
      </c>
      <c r="AB70" s="64">
        <v>4.4000000000000004</v>
      </c>
      <c r="AC70" s="64">
        <v>20</v>
      </c>
      <c r="AD70" s="64">
        <v>6.4</v>
      </c>
      <c r="AE70" s="64">
        <v>0</v>
      </c>
      <c r="AF70" s="64">
        <v>0</v>
      </c>
      <c r="AG70" s="54">
        <v>32</v>
      </c>
      <c r="AH70" s="47">
        <f t="shared" si="2"/>
        <v>20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2.7</v>
      </c>
      <c r="C71" s="45">
        <v>0</v>
      </c>
      <c r="D71" s="45">
        <v>0</v>
      </c>
      <c r="E71" s="45">
        <v>0</v>
      </c>
      <c r="F71" s="45"/>
      <c r="G71" s="45">
        <v>0</v>
      </c>
      <c r="H71" s="66">
        <v>0</v>
      </c>
      <c r="I71" s="66">
        <v>0</v>
      </c>
      <c r="J71" s="66">
        <v>0</v>
      </c>
      <c r="K71" s="66">
        <v>0</v>
      </c>
      <c r="L71" s="66">
        <v>0</v>
      </c>
      <c r="M71" s="66">
        <v>0</v>
      </c>
      <c r="N71" s="66">
        <v>1.6</v>
      </c>
      <c r="O71" s="66">
        <v>2.2999999999999998</v>
      </c>
      <c r="P71" s="66">
        <v>3.5</v>
      </c>
      <c r="Q71" s="66">
        <v>0</v>
      </c>
      <c r="R71" s="66">
        <v>0</v>
      </c>
      <c r="S71" s="66">
        <v>0</v>
      </c>
      <c r="T71" s="66">
        <v>1.9</v>
      </c>
      <c r="U71" s="66"/>
      <c r="V71" s="66"/>
      <c r="W71" s="66"/>
      <c r="X71" s="66">
        <v>1.8</v>
      </c>
      <c r="Y71" s="66">
        <v>7.3</v>
      </c>
      <c r="Z71" s="66">
        <v>3.5</v>
      </c>
      <c r="AA71" s="66">
        <v>4.2</v>
      </c>
      <c r="AB71" s="66">
        <v>1.6</v>
      </c>
      <c r="AC71" s="66">
        <v>7.3</v>
      </c>
      <c r="AD71" s="66">
        <v>2.2999999999999998</v>
      </c>
      <c r="AE71" s="66">
        <v>0</v>
      </c>
      <c r="AF71" s="66">
        <v>0</v>
      </c>
      <c r="AG71" s="67">
        <v>14</v>
      </c>
      <c r="AH71" s="47">
        <f t="shared" si="2"/>
        <v>7.3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23.7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v>0</v>
      </c>
      <c r="N72" s="60">
        <f t="shared" ref="N72:AF72" si="7">N69+N70+N71</f>
        <v>15.9</v>
      </c>
      <c r="O72" s="60">
        <f t="shared" si="7"/>
        <v>18.7</v>
      </c>
      <c r="P72" s="60">
        <f t="shared" si="7"/>
        <v>33.1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21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40.599999999999994</v>
      </c>
      <c r="Y72" s="60">
        <f t="shared" si="7"/>
        <v>67.3</v>
      </c>
      <c r="Z72" s="60">
        <f t="shared" si="7"/>
        <v>23.2</v>
      </c>
      <c r="AA72" s="60">
        <f>AA69+AA70+AA71</f>
        <v>45.7</v>
      </c>
      <c r="AB72" s="60">
        <f t="shared" si="7"/>
        <v>16</v>
      </c>
      <c r="AC72" s="60">
        <f t="shared" si="7"/>
        <v>72.3</v>
      </c>
      <c r="AD72" s="60">
        <f t="shared" si="7"/>
        <v>22.7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72.3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-15</v>
      </c>
      <c r="C73" s="45">
        <v>-5</v>
      </c>
      <c r="D73" s="45">
        <v>-12</v>
      </c>
      <c r="E73" s="45">
        <v>-44.4</v>
      </c>
      <c r="F73" s="45"/>
      <c r="G73" s="45">
        <v>-24.4</v>
      </c>
      <c r="H73" s="45">
        <v>-26</v>
      </c>
      <c r="I73" s="45">
        <v>-26</v>
      </c>
      <c r="J73" s="45">
        <v>-39.1</v>
      </c>
      <c r="K73" s="45">
        <v>-40.200000000000003</v>
      </c>
      <c r="L73" s="45">
        <v>-44.2</v>
      </c>
      <c r="M73" s="45">
        <v>-44.2</v>
      </c>
      <c r="N73" s="45">
        <v>-52</v>
      </c>
      <c r="O73" s="45">
        <v>31.6</v>
      </c>
      <c r="P73" s="45">
        <v>34.6</v>
      </c>
      <c r="Q73" s="45">
        <v>36.9</v>
      </c>
      <c r="R73" s="45">
        <v>39.5</v>
      </c>
      <c r="S73" s="45">
        <v>51</v>
      </c>
      <c r="T73" s="45">
        <v>46.2</v>
      </c>
      <c r="U73" s="45">
        <v>44</v>
      </c>
      <c r="V73" s="45">
        <v>12.6</v>
      </c>
      <c r="W73" s="45">
        <v>-25</v>
      </c>
      <c r="X73" s="45">
        <v>-37</v>
      </c>
      <c r="Y73" s="45">
        <v>-23</v>
      </c>
      <c r="Z73" s="45">
        <v>-12.4</v>
      </c>
      <c r="AA73" s="45">
        <v>-29.7</v>
      </c>
      <c r="AB73" s="45">
        <v>-28.1</v>
      </c>
      <c r="AC73" s="45">
        <v>-28</v>
      </c>
      <c r="AD73" s="45">
        <v>-30.6</v>
      </c>
      <c r="AE73" s="45">
        <v>-42.9</v>
      </c>
      <c r="AF73" s="45">
        <v>-45.2</v>
      </c>
      <c r="AG73" s="51"/>
      <c r="AH73" s="47">
        <f t="shared" si="2"/>
        <v>51</v>
      </c>
      <c r="AI73" s="48">
        <f t="shared" si="3"/>
        <v>-52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-540</v>
      </c>
      <c r="C75" s="64">
        <v>-570</v>
      </c>
      <c r="D75" s="64">
        <v>-575</v>
      </c>
      <c r="E75" s="64">
        <v>-575.5</v>
      </c>
      <c r="F75" s="64"/>
      <c r="G75" s="64">
        <v>-568.79999999999995</v>
      </c>
      <c r="H75" s="64">
        <v>-526.79999999999995</v>
      </c>
      <c r="I75" s="64">
        <v>-526.79999999999995</v>
      </c>
      <c r="J75" s="64">
        <v>-572.5</v>
      </c>
      <c r="K75" s="64">
        <v>-662.3</v>
      </c>
      <c r="L75" s="64">
        <v>-604</v>
      </c>
      <c r="M75" s="64">
        <v>-604</v>
      </c>
      <c r="N75" s="64">
        <v>-588</v>
      </c>
      <c r="O75" s="64">
        <v>-585</v>
      </c>
      <c r="P75" s="64">
        <v>-537.20000000000005</v>
      </c>
      <c r="Q75" s="64">
        <v>-530.29999999999995</v>
      </c>
      <c r="R75" s="64">
        <v>-538.1</v>
      </c>
      <c r="S75" s="64">
        <v>-500</v>
      </c>
      <c r="T75" s="64">
        <v>-533</v>
      </c>
      <c r="U75" s="64">
        <v>-586</v>
      </c>
      <c r="V75" s="64">
        <v>-565</v>
      </c>
      <c r="W75" s="64">
        <v>-558</v>
      </c>
      <c r="X75" s="64">
        <v>-511</v>
      </c>
      <c r="Y75" s="64">
        <v>-530</v>
      </c>
      <c r="Z75" s="64">
        <v>-514</v>
      </c>
      <c r="AA75" s="64">
        <v>-482</v>
      </c>
      <c r="AB75" s="64">
        <v>-525.29999999999995</v>
      </c>
      <c r="AC75" s="64">
        <v>-535</v>
      </c>
      <c r="AD75" s="64">
        <v>-549.9</v>
      </c>
      <c r="AE75" s="64">
        <v>-548</v>
      </c>
      <c r="AF75" s="64">
        <v>-560</v>
      </c>
      <c r="AG75" s="74"/>
      <c r="AH75" s="47">
        <f t="shared" si="2"/>
        <v>-482</v>
      </c>
      <c r="AI75" s="48">
        <f t="shared" si="3"/>
        <v>-662.3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>SUMIF(B73:B83,"&gt;0")</f>
        <v>0</v>
      </c>
      <c r="C84" s="60">
        <f t="shared" ref="C84:AF84" si="10">SUMIF(C73:C83,"&gt;0")</f>
        <v>0</v>
      </c>
      <c r="D84" s="60">
        <f>SUMIF(D73:D83,"&gt;0")</f>
        <v>0</v>
      </c>
      <c r="E84" s="60">
        <f t="shared" si="10"/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>SUMIF(I73:I83,"&gt;0")</f>
        <v>0</v>
      </c>
      <c r="J84" s="60">
        <f>SUMIF(J73:J83,"&gt;0")</f>
        <v>0</v>
      </c>
      <c r="K84" s="60">
        <f>SUMIF(K73:K83,"&gt;0")</f>
        <v>0</v>
      </c>
      <c r="L84" s="60">
        <f>SUMIF(L73:L83,"&gt;0")</f>
        <v>0</v>
      </c>
      <c r="M84" s="60">
        <f>SUMIF(M73:M83,"&gt;0")</f>
        <v>0</v>
      </c>
      <c r="N84" s="60">
        <f t="shared" si="10"/>
        <v>0</v>
      </c>
      <c r="O84" s="60">
        <f t="shared" si="10"/>
        <v>31.6</v>
      </c>
      <c r="P84" s="60">
        <f t="shared" si="10"/>
        <v>34.6</v>
      </c>
      <c r="Q84" s="60">
        <f t="shared" si="10"/>
        <v>36.9</v>
      </c>
      <c r="R84" s="60">
        <f t="shared" si="10"/>
        <v>39.5</v>
      </c>
      <c r="S84" s="60">
        <f t="shared" si="10"/>
        <v>51</v>
      </c>
      <c r="T84" s="60">
        <f t="shared" si="10"/>
        <v>46.2</v>
      </c>
      <c r="U84" s="60">
        <f t="shared" si="10"/>
        <v>44</v>
      </c>
      <c r="V84" s="60">
        <f t="shared" si="10"/>
        <v>12.6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>SUMIF(AA73:AA83,"&gt;0")</f>
        <v>0</v>
      </c>
      <c r="AB84" s="60">
        <f t="shared" si="10"/>
        <v>0</v>
      </c>
      <c r="AC84" s="60">
        <f t="shared" si="10"/>
        <v>0</v>
      </c>
      <c r="AD84" s="60">
        <f t="shared" si="10"/>
        <v>0</v>
      </c>
      <c r="AE84" s="60">
        <f t="shared" si="10"/>
        <v>0</v>
      </c>
      <c r="AF84" s="60">
        <f t="shared" si="10"/>
        <v>0</v>
      </c>
      <c r="AG84" s="87">
        <f>SUM(AG73:AG83)</f>
        <v>0</v>
      </c>
      <c r="AH84" s="47">
        <f t="shared" si="8"/>
        <v>51</v>
      </c>
      <c r="AI84" s="48">
        <f t="shared" si="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>B50+B54+B72+B68+B84+B88</f>
        <v>1991.84</v>
      </c>
      <c r="C89" s="94">
        <f t="shared" ref="C89:AG89" si="11">C50+C54+C72+C68+C84+C88</f>
        <v>1989.1399999999999</v>
      </c>
      <c r="D89" s="94">
        <f>D50+D54+D72+D68+D84+D88</f>
        <v>1989.1399999999999</v>
      </c>
      <c r="E89" s="94">
        <f t="shared" si="11"/>
        <v>1989.1399999999999</v>
      </c>
      <c r="F89" s="94">
        <f t="shared" si="11"/>
        <v>0</v>
      </c>
      <c r="G89" s="94">
        <f t="shared" si="11"/>
        <v>1781.2399999999998</v>
      </c>
      <c r="H89" s="94">
        <f t="shared" si="11"/>
        <v>1837.54</v>
      </c>
      <c r="I89" s="94">
        <f>I50+I54+I72+I68+I84+I88</f>
        <v>1894.3400000000001</v>
      </c>
      <c r="J89" s="94">
        <f>J50+J54+J72+J68+J84+J88</f>
        <v>1941.3400000000001</v>
      </c>
      <c r="K89" s="94">
        <f>K50+K54+K72+K68+K84+K88</f>
        <v>2024.8400000000001</v>
      </c>
      <c r="L89" s="94">
        <f>L50+L54+L72+L68+L84+L88</f>
        <v>2081.14</v>
      </c>
      <c r="M89" s="94">
        <f>M50+M54+M72+M68+M84+M88</f>
        <v>2100.6400000000003</v>
      </c>
      <c r="N89" s="94">
        <f t="shared" si="11"/>
        <v>2126.1400000000003</v>
      </c>
      <c r="O89" s="94">
        <f t="shared" si="11"/>
        <v>2069.54</v>
      </c>
      <c r="P89" s="94">
        <f t="shared" si="11"/>
        <v>2086.94</v>
      </c>
      <c r="Q89" s="94">
        <f t="shared" si="11"/>
        <v>2081.34</v>
      </c>
      <c r="R89" s="94">
        <f t="shared" si="11"/>
        <v>2064.14</v>
      </c>
      <c r="S89" s="94">
        <f t="shared" si="11"/>
        <v>2068.84</v>
      </c>
      <c r="T89" s="94">
        <f t="shared" si="11"/>
        <v>2085.04</v>
      </c>
      <c r="U89" s="94">
        <f t="shared" si="11"/>
        <v>2085.44</v>
      </c>
      <c r="V89" s="94">
        <f t="shared" si="11"/>
        <v>2021.54</v>
      </c>
      <c r="W89" s="94">
        <f t="shared" si="11"/>
        <v>2022.94</v>
      </c>
      <c r="X89" s="94">
        <f t="shared" si="11"/>
        <v>2164.54</v>
      </c>
      <c r="Y89" s="94">
        <f t="shared" si="11"/>
        <v>2199.04</v>
      </c>
      <c r="Z89" s="94">
        <f t="shared" si="11"/>
        <v>2154.94</v>
      </c>
      <c r="AA89" s="94">
        <f>AA50+AA54+AA72+AA68+AA84+AA88</f>
        <v>2160.44</v>
      </c>
      <c r="AB89" s="94">
        <f t="shared" si="11"/>
        <v>2164.64</v>
      </c>
      <c r="AC89" s="94">
        <f t="shared" si="11"/>
        <v>2220.94</v>
      </c>
      <c r="AD89" s="94">
        <f t="shared" si="11"/>
        <v>2132.38</v>
      </c>
      <c r="AE89" s="94">
        <f t="shared" si="11"/>
        <v>2092.6400000000003</v>
      </c>
      <c r="AF89" s="94">
        <f t="shared" si="11"/>
        <v>2105.1400000000003</v>
      </c>
      <c r="AG89" s="61">
        <f t="shared" si="11"/>
        <v>2111.5500000000002</v>
      </c>
      <c r="AH89" s="47">
        <f t="shared" si="8"/>
        <v>2220.94</v>
      </c>
      <c r="AI89" s="48">
        <f t="shared" si="9"/>
        <v>0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>B89+B90</f>
        <v>1991.84</v>
      </c>
      <c r="C91" s="94">
        <f t="shared" ref="C91:AF91" si="12">C89+C90</f>
        <v>1989.1399999999999</v>
      </c>
      <c r="D91" s="94">
        <f>D89+D90</f>
        <v>1989.1399999999999</v>
      </c>
      <c r="E91" s="94">
        <f t="shared" si="12"/>
        <v>1989.1399999999999</v>
      </c>
      <c r="F91" s="94">
        <f t="shared" si="12"/>
        <v>0</v>
      </c>
      <c r="G91" s="94">
        <f t="shared" si="12"/>
        <v>1781.2399999999998</v>
      </c>
      <c r="H91" s="94">
        <f t="shared" si="12"/>
        <v>1837.54</v>
      </c>
      <c r="I91" s="94">
        <f>I89+I90</f>
        <v>1894.3400000000001</v>
      </c>
      <c r="J91" s="94">
        <f>J89+J90</f>
        <v>1941.3400000000001</v>
      </c>
      <c r="K91" s="94">
        <f>K89+K90</f>
        <v>2024.8400000000001</v>
      </c>
      <c r="L91" s="94">
        <f>L89+L90</f>
        <v>2081.14</v>
      </c>
      <c r="M91" s="94">
        <f>M89+M90</f>
        <v>2100.6400000000003</v>
      </c>
      <c r="N91" s="94">
        <f t="shared" si="12"/>
        <v>2126.1400000000003</v>
      </c>
      <c r="O91" s="94">
        <f t="shared" si="12"/>
        <v>2069.54</v>
      </c>
      <c r="P91" s="94">
        <f t="shared" si="12"/>
        <v>2086.94</v>
      </c>
      <c r="Q91" s="94">
        <f t="shared" si="12"/>
        <v>2081.34</v>
      </c>
      <c r="R91" s="94">
        <f t="shared" si="12"/>
        <v>2064.14</v>
      </c>
      <c r="S91" s="94">
        <f t="shared" si="12"/>
        <v>2068.84</v>
      </c>
      <c r="T91" s="94">
        <f t="shared" si="12"/>
        <v>2085.04</v>
      </c>
      <c r="U91" s="94">
        <f t="shared" si="12"/>
        <v>2085.44</v>
      </c>
      <c r="V91" s="94">
        <f t="shared" si="12"/>
        <v>2021.54</v>
      </c>
      <c r="W91" s="94">
        <f t="shared" si="12"/>
        <v>2022.94</v>
      </c>
      <c r="X91" s="94">
        <f t="shared" si="12"/>
        <v>2164.54</v>
      </c>
      <c r="Y91" s="94">
        <f t="shared" si="12"/>
        <v>2199.04</v>
      </c>
      <c r="Z91" s="94">
        <f t="shared" si="12"/>
        <v>2154.94</v>
      </c>
      <c r="AA91" s="94">
        <f>AA89+AA90</f>
        <v>2160.44</v>
      </c>
      <c r="AB91" s="94">
        <f t="shared" si="12"/>
        <v>2164.64</v>
      </c>
      <c r="AC91" s="94">
        <f t="shared" si="12"/>
        <v>2220.94</v>
      </c>
      <c r="AD91" s="94">
        <f t="shared" si="12"/>
        <v>2132.38</v>
      </c>
      <c r="AE91" s="94">
        <f t="shared" si="12"/>
        <v>2092.6400000000003</v>
      </c>
      <c r="AF91" s="94">
        <f t="shared" si="12"/>
        <v>2105.1400000000003</v>
      </c>
      <c r="AG91" s="87">
        <f>AG88+AG84+AG72+AG68+AG50+AG90</f>
        <v>1573.45</v>
      </c>
      <c r="AH91" s="47">
        <f t="shared" si="8"/>
        <v>2220.94</v>
      </c>
      <c r="AI91" s="48">
        <f t="shared" si="9"/>
        <v>0</v>
      </c>
    </row>
    <row r="92" spans="1:40" ht="15.75" thickBot="1" x14ac:dyDescent="0.3">
      <c r="A92" s="73" t="s">
        <v>103</v>
      </c>
      <c r="B92" s="94">
        <f>B91-(-B99)</f>
        <v>1451.84</v>
      </c>
      <c r="C92" s="94">
        <f t="shared" ref="C92:AF92" si="13">C91-(-C99)</f>
        <v>1419.1399999999999</v>
      </c>
      <c r="D92" s="94">
        <f>D91-(-D99)</f>
        <v>1414.1399999999999</v>
      </c>
      <c r="E92" s="94">
        <f t="shared" si="13"/>
        <v>1413.6399999999999</v>
      </c>
      <c r="F92" s="94">
        <f t="shared" si="13"/>
        <v>0</v>
      </c>
      <c r="G92" s="94">
        <f t="shared" si="13"/>
        <v>1212.4399999999998</v>
      </c>
      <c r="H92" s="94">
        <f t="shared" si="13"/>
        <v>1310.74</v>
      </c>
      <c r="I92" s="94">
        <f>I91-(-I99)</f>
        <v>1367.5400000000002</v>
      </c>
      <c r="J92" s="94">
        <f>J91-(-J99)</f>
        <v>1368.8400000000001</v>
      </c>
      <c r="K92" s="94">
        <f>K91-(-K99)</f>
        <v>1362.5400000000002</v>
      </c>
      <c r="L92" s="94">
        <f>L91-(-L99)</f>
        <v>1477.1399999999999</v>
      </c>
      <c r="M92" s="94">
        <f>M91-(-M99)</f>
        <v>1496.6400000000003</v>
      </c>
      <c r="N92" s="94">
        <f t="shared" si="13"/>
        <v>1538.1400000000003</v>
      </c>
      <c r="O92" s="94">
        <f t="shared" si="13"/>
        <v>1484.54</v>
      </c>
      <c r="P92" s="94">
        <f t="shared" si="13"/>
        <v>1549.74</v>
      </c>
      <c r="Q92" s="94">
        <f t="shared" si="13"/>
        <v>1551.0400000000002</v>
      </c>
      <c r="R92" s="94">
        <f t="shared" si="13"/>
        <v>1526.04</v>
      </c>
      <c r="S92" s="94">
        <f t="shared" si="13"/>
        <v>1568.8400000000001</v>
      </c>
      <c r="T92" s="94">
        <f t="shared" si="13"/>
        <v>1552.04</v>
      </c>
      <c r="U92" s="94">
        <f t="shared" si="13"/>
        <v>1499.44</v>
      </c>
      <c r="V92" s="94">
        <f t="shared" si="13"/>
        <v>1456.54</v>
      </c>
      <c r="W92" s="94">
        <f t="shared" si="13"/>
        <v>1464.94</v>
      </c>
      <c r="X92" s="94">
        <f t="shared" si="13"/>
        <v>1653.54</v>
      </c>
      <c r="Y92" s="94">
        <f t="shared" si="13"/>
        <v>1669.04</v>
      </c>
      <c r="Z92" s="94">
        <f t="shared" si="13"/>
        <v>1640.94</v>
      </c>
      <c r="AA92" s="94">
        <f>AA91-(-AA99)</f>
        <v>1678.44</v>
      </c>
      <c r="AB92" s="94">
        <f t="shared" si="13"/>
        <v>1639.34</v>
      </c>
      <c r="AC92" s="94">
        <f t="shared" si="13"/>
        <v>1685.94</v>
      </c>
      <c r="AD92" s="94">
        <f t="shared" si="13"/>
        <v>1582.48</v>
      </c>
      <c r="AE92" s="94">
        <f t="shared" si="13"/>
        <v>1544.6400000000003</v>
      </c>
      <c r="AF92" s="94">
        <f t="shared" si="13"/>
        <v>1545.1400000000003</v>
      </c>
      <c r="AG92" s="87"/>
      <c r="AH92" s="47">
        <f t="shared" si="8"/>
        <v>1685.94</v>
      </c>
      <c r="AI92" s="48">
        <f t="shared" si="9"/>
        <v>0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f>B75</f>
        <v>-540</v>
      </c>
      <c r="C99" s="60">
        <f t="shared" ref="C99:AF99" si="14">C75</f>
        <v>-570</v>
      </c>
      <c r="D99" s="60">
        <f>D75</f>
        <v>-575</v>
      </c>
      <c r="E99" s="60">
        <f t="shared" si="14"/>
        <v>-575.5</v>
      </c>
      <c r="F99" s="60">
        <f t="shared" si="14"/>
        <v>0</v>
      </c>
      <c r="G99" s="60">
        <f t="shared" si="14"/>
        <v>-568.79999999999995</v>
      </c>
      <c r="H99" s="60">
        <f t="shared" si="14"/>
        <v>-526.79999999999995</v>
      </c>
      <c r="I99" s="60">
        <f>I75</f>
        <v>-526.79999999999995</v>
      </c>
      <c r="J99" s="60">
        <f>J75</f>
        <v>-572.5</v>
      </c>
      <c r="K99" s="60">
        <f>K75</f>
        <v>-662.3</v>
      </c>
      <c r="L99" s="60">
        <f>L75</f>
        <v>-604</v>
      </c>
      <c r="M99" s="60">
        <f>M75</f>
        <v>-604</v>
      </c>
      <c r="N99" s="60">
        <f t="shared" si="14"/>
        <v>-588</v>
      </c>
      <c r="O99" s="60">
        <f t="shared" si="14"/>
        <v>-585</v>
      </c>
      <c r="P99" s="60">
        <f t="shared" si="14"/>
        <v>-537.20000000000005</v>
      </c>
      <c r="Q99" s="60">
        <f t="shared" si="14"/>
        <v>-530.29999999999995</v>
      </c>
      <c r="R99" s="60">
        <f t="shared" si="14"/>
        <v>-538.1</v>
      </c>
      <c r="S99" s="60">
        <f t="shared" si="14"/>
        <v>-500</v>
      </c>
      <c r="T99" s="60">
        <f t="shared" si="14"/>
        <v>-533</v>
      </c>
      <c r="U99" s="60">
        <f t="shared" si="14"/>
        <v>-586</v>
      </c>
      <c r="V99" s="60">
        <f t="shared" si="14"/>
        <v>-565</v>
      </c>
      <c r="W99" s="60">
        <f t="shared" si="14"/>
        <v>-558</v>
      </c>
      <c r="X99" s="60">
        <f t="shared" si="14"/>
        <v>-511</v>
      </c>
      <c r="Y99" s="60">
        <f t="shared" si="14"/>
        <v>-530</v>
      </c>
      <c r="Z99" s="60">
        <f t="shared" si="14"/>
        <v>-514</v>
      </c>
      <c r="AA99" s="60">
        <f>AA75</f>
        <v>-482</v>
      </c>
      <c r="AB99" s="60">
        <f t="shared" si="14"/>
        <v>-525.29999999999995</v>
      </c>
      <c r="AC99" s="60">
        <f t="shared" si="14"/>
        <v>-535</v>
      </c>
      <c r="AD99" s="60">
        <f t="shared" si="14"/>
        <v>-549.9</v>
      </c>
      <c r="AE99" s="60">
        <f t="shared" si="14"/>
        <v>-548</v>
      </c>
      <c r="AF99" s="60">
        <f t="shared" si="14"/>
        <v>-560</v>
      </c>
      <c r="AG99" s="87"/>
      <c r="AH99" s="47">
        <f t="shared" si="8"/>
        <v>0</v>
      </c>
      <c r="AI99" s="48">
        <f t="shared" si="9"/>
        <v>-662.3</v>
      </c>
      <c r="AK99" s="50"/>
    </row>
    <row r="100" spans="1:37" ht="15.75" thickBot="1" x14ac:dyDescent="0.3">
      <c r="A100" s="73" t="s">
        <v>108</v>
      </c>
      <c r="B100" s="60">
        <f>B84-B99</f>
        <v>540</v>
      </c>
      <c r="C100" s="60">
        <f t="shared" ref="C100:AF100" si="15">C84-C99</f>
        <v>570</v>
      </c>
      <c r="D100" s="60">
        <f>D84-D99</f>
        <v>575</v>
      </c>
      <c r="E100" s="60">
        <f t="shared" si="15"/>
        <v>575.5</v>
      </c>
      <c r="F100" s="60">
        <f t="shared" si="15"/>
        <v>0</v>
      </c>
      <c r="G100" s="60">
        <f t="shared" si="15"/>
        <v>568.79999999999995</v>
      </c>
      <c r="H100" s="60">
        <f t="shared" si="15"/>
        <v>526.79999999999995</v>
      </c>
      <c r="I100" s="60">
        <f>I84-I99</f>
        <v>526.79999999999995</v>
      </c>
      <c r="J100" s="60">
        <f>J84-J99</f>
        <v>572.5</v>
      </c>
      <c r="K100" s="60">
        <f>K84-K99</f>
        <v>662.3</v>
      </c>
      <c r="L100" s="60">
        <f>L84-L99</f>
        <v>604</v>
      </c>
      <c r="M100" s="60">
        <f>M84-M99</f>
        <v>604</v>
      </c>
      <c r="N100" s="60">
        <f t="shared" si="15"/>
        <v>588</v>
      </c>
      <c r="O100" s="60">
        <f t="shared" si="15"/>
        <v>616.6</v>
      </c>
      <c r="P100" s="60">
        <f t="shared" si="15"/>
        <v>571.80000000000007</v>
      </c>
      <c r="Q100" s="60">
        <f t="shared" si="15"/>
        <v>567.19999999999993</v>
      </c>
      <c r="R100" s="60">
        <f t="shared" si="15"/>
        <v>577.6</v>
      </c>
      <c r="S100" s="60">
        <f t="shared" si="15"/>
        <v>551</v>
      </c>
      <c r="T100" s="60">
        <f t="shared" si="15"/>
        <v>579.20000000000005</v>
      </c>
      <c r="U100" s="60">
        <f t="shared" si="15"/>
        <v>630</v>
      </c>
      <c r="V100" s="60">
        <f t="shared" si="15"/>
        <v>577.6</v>
      </c>
      <c r="W100" s="60">
        <f t="shared" si="15"/>
        <v>558</v>
      </c>
      <c r="X100" s="60">
        <f t="shared" si="15"/>
        <v>511</v>
      </c>
      <c r="Y100" s="60">
        <f t="shared" si="15"/>
        <v>530</v>
      </c>
      <c r="Z100" s="60">
        <f t="shared" si="15"/>
        <v>514</v>
      </c>
      <c r="AA100" s="60">
        <f>AA84-AA99</f>
        <v>482</v>
      </c>
      <c r="AB100" s="60">
        <f t="shared" si="15"/>
        <v>525.29999999999995</v>
      </c>
      <c r="AC100" s="60">
        <f t="shared" si="15"/>
        <v>535</v>
      </c>
      <c r="AD100" s="60">
        <f t="shared" si="15"/>
        <v>549.9</v>
      </c>
      <c r="AE100" s="60">
        <f t="shared" si="15"/>
        <v>548</v>
      </c>
      <c r="AF100" s="60">
        <f t="shared" si="15"/>
        <v>560</v>
      </c>
      <c r="AG100" s="87"/>
      <c r="AH100" s="47">
        <f t="shared" si="8"/>
        <v>662.3</v>
      </c>
      <c r="AI100" s="48">
        <f t="shared" si="9"/>
        <v>0</v>
      </c>
    </row>
    <row r="101" spans="1:37" x14ac:dyDescent="0.25">
      <c r="A101" s="99" t="s">
        <v>109</v>
      </c>
      <c r="B101" s="100">
        <v>50.055</v>
      </c>
      <c r="C101" s="100">
        <v>50</v>
      </c>
      <c r="D101" s="100">
        <v>49.96</v>
      </c>
      <c r="E101" s="100">
        <v>50</v>
      </c>
      <c r="F101" s="100"/>
      <c r="G101" s="100">
        <v>49.96</v>
      </c>
      <c r="H101" s="100">
        <v>50.014000000000003</v>
      </c>
      <c r="I101" s="100">
        <v>50.014000000000003</v>
      </c>
      <c r="J101" s="100">
        <v>50.023000000000003</v>
      </c>
      <c r="K101" s="100">
        <v>49.89</v>
      </c>
      <c r="L101" s="100">
        <v>49.86</v>
      </c>
      <c r="M101" s="100">
        <v>49.86</v>
      </c>
      <c r="N101" s="100">
        <v>50.04</v>
      </c>
      <c r="O101" s="100">
        <v>50.031999999999996</v>
      </c>
      <c r="P101" s="100">
        <v>50.021999999999998</v>
      </c>
      <c r="Q101" s="100">
        <v>49.985999999999997</v>
      </c>
      <c r="R101" s="100">
        <v>49.954000000000001</v>
      </c>
      <c r="S101" s="100">
        <v>49.975999999999999</v>
      </c>
      <c r="T101" s="100">
        <v>49.936999999999998</v>
      </c>
      <c r="U101" s="100">
        <v>49.962000000000003</v>
      </c>
      <c r="V101" s="100">
        <v>50.052999999999997</v>
      </c>
      <c r="W101" s="100">
        <v>50.067999999999998</v>
      </c>
      <c r="X101" s="100">
        <v>50</v>
      </c>
      <c r="Y101" s="100">
        <v>49.933999999999997</v>
      </c>
      <c r="Z101" s="100">
        <v>49.948999999999998</v>
      </c>
      <c r="AA101" s="100">
        <v>50.070999999999998</v>
      </c>
      <c r="AB101" s="100">
        <v>50.061999999999998</v>
      </c>
      <c r="AC101" s="100">
        <v>50.051000000000002</v>
      </c>
      <c r="AD101" s="100">
        <v>50.027999999999999</v>
      </c>
      <c r="AE101" s="100">
        <v>50</v>
      </c>
      <c r="AF101" s="100">
        <v>49.978999999999999</v>
      </c>
      <c r="AG101" s="101"/>
      <c r="AH101" s="47">
        <f t="shared" si="8"/>
        <v>50.070999999999998</v>
      </c>
      <c r="AI101" s="48">
        <f t="shared" si="9"/>
        <v>49.86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129</v>
      </c>
      <c r="C103" s="64">
        <v>127</v>
      </c>
      <c r="D103" s="64">
        <v>128.5</v>
      </c>
      <c r="E103" s="64">
        <v>128.30000000000001</v>
      </c>
      <c r="F103" s="64"/>
      <c r="G103" s="64">
        <v>128.30000000000001</v>
      </c>
      <c r="H103" s="64">
        <v>128.69999999999999</v>
      </c>
      <c r="I103" s="64">
        <v>128.69999999999999</v>
      </c>
      <c r="J103" s="64">
        <v>127.7</v>
      </c>
      <c r="K103" s="64">
        <v>126.8</v>
      </c>
      <c r="L103" s="64">
        <v>125</v>
      </c>
      <c r="M103" s="64">
        <v>125</v>
      </c>
      <c r="N103" s="64">
        <v>125.1</v>
      </c>
      <c r="O103" s="64">
        <v>125.3</v>
      </c>
      <c r="P103" s="64">
        <v>126.1</v>
      </c>
      <c r="Q103" s="64">
        <v>126.8</v>
      </c>
      <c r="R103" s="64">
        <v>127</v>
      </c>
      <c r="S103" s="64">
        <v>127.7</v>
      </c>
      <c r="T103" s="64">
        <v>127.3</v>
      </c>
      <c r="U103" s="64">
        <v>129.1</v>
      </c>
      <c r="V103" s="64">
        <v>129.80000000000001</v>
      </c>
      <c r="W103" s="64">
        <v>129.5</v>
      </c>
      <c r="X103" s="64">
        <v>128.80000000000001</v>
      </c>
      <c r="Y103" s="64">
        <v>128.80000000000001</v>
      </c>
      <c r="Z103" s="64">
        <v>128.80000000000001</v>
      </c>
      <c r="AA103" s="64">
        <v>129.19999999999999</v>
      </c>
      <c r="AB103" s="64">
        <v>129.5</v>
      </c>
      <c r="AC103" s="64">
        <v>130.69999999999999</v>
      </c>
      <c r="AD103" s="64">
        <v>129.4</v>
      </c>
      <c r="AE103" s="64">
        <v>129.4</v>
      </c>
      <c r="AF103" s="64">
        <v>129.4</v>
      </c>
      <c r="AG103" s="103"/>
      <c r="AH103" s="47">
        <f t="shared" si="8"/>
        <v>130.69999999999999</v>
      </c>
      <c r="AI103" s="48">
        <f t="shared" si="9"/>
        <v>125</v>
      </c>
    </row>
    <row r="104" spans="1:37" x14ac:dyDescent="0.25">
      <c r="A104" s="102" t="s">
        <v>112</v>
      </c>
      <c r="B104" s="64">
        <v>129</v>
      </c>
      <c r="C104" s="64">
        <v>126</v>
      </c>
      <c r="D104" s="64">
        <v>130</v>
      </c>
      <c r="E104" s="64">
        <v>131.1</v>
      </c>
      <c r="F104" s="64"/>
      <c r="G104" s="64">
        <v>130</v>
      </c>
      <c r="H104" s="64">
        <v>128.5</v>
      </c>
      <c r="I104" s="64">
        <v>128.5</v>
      </c>
      <c r="J104" s="64">
        <v>125.5</v>
      </c>
      <c r="K104" s="64">
        <v>128</v>
      </c>
      <c r="L104" s="64">
        <v>126.1</v>
      </c>
      <c r="M104" s="64">
        <v>126.1</v>
      </c>
      <c r="N104" s="64">
        <v>127.6</v>
      </c>
      <c r="O104" s="64">
        <v>129.1</v>
      </c>
      <c r="P104" s="64">
        <v>127</v>
      </c>
      <c r="Q104" s="64">
        <v>126.5</v>
      </c>
      <c r="R104" s="64">
        <v>127.4</v>
      </c>
      <c r="S104" s="64">
        <v>124.4</v>
      </c>
      <c r="T104" s="64">
        <v>127.3</v>
      </c>
      <c r="U104" s="64">
        <v>127.7</v>
      </c>
      <c r="V104" s="64">
        <v>129</v>
      </c>
      <c r="W104" s="64">
        <v>129.5</v>
      </c>
      <c r="X104" s="64">
        <v>126.2</v>
      </c>
      <c r="Y104" s="64">
        <v>127.6</v>
      </c>
      <c r="Z104" s="64">
        <v>127.1</v>
      </c>
      <c r="AA104" s="64">
        <v>126.6</v>
      </c>
      <c r="AB104" s="64">
        <v>126.5</v>
      </c>
      <c r="AC104" s="64">
        <v>125.8</v>
      </c>
      <c r="AD104" s="64">
        <v>126.7</v>
      </c>
      <c r="AE104" s="64">
        <v>126.7</v>
      </c>
      <c r="AF104" s="64">
        <v>126.7</v>
      </c>
      <c r="AG104" s="103"/>
      <c r="AH104" s="47">
        <f t="shared" si="8"/>
        <v>131.1</v>
      </c>
      <c r="AI104" s="48">
        <f t="shared" si="9"/>
        <v>124.4</v>
      </c>
    </row>
    <row r="105" spans="1:37" x14ac:dyDescent="0.25">
      <c r="A105" s="104" t="s">
        <v>113</v>
      </c>
      <c r="B105" s="64">
        <v>132</v>
      </c>
      <c r="C105" s="64">
        <v>130</v>
      </c>
      <c r="D105" s="64">
        <v>133</v>
      </c>
      <c r="E105" s="64">
        <v>134</v>
      </c>
      <c r="F105" s="64"/>
      <c r="G105" s="64">
        <v>132</v>
      </c>
      <c r="H105" s="64">
        <v>130.5</v>
      </c>
      <c r="I105" s="64">
        <v>130.5</v>
      </c>
      <c r="J105" s="64">
        <v>129.69999999999999</v>
      </c>
      <c r="K105" s="64">
        <v>130.9</v>
      </c>
      <c r="L105" s="64">
        <v>127.5</v>
      </c>
      <c r="M105" s="64">
        <v>127.5</v>
      </c>
      <c r="N105" s="64">
        <v>130.69999999999999</v>
      </c>
      <c r="O105" s="64">
        <v>131.69999999999999</v>
      </c>
      <c r="P105" s="64">
        <v>128.80000000000001</v>
      </c>
      <c r="Q105" s="64">
        <v>130.4</v>
      </c>
      <c r="R105" s="64">
        <v>132</v>
      </c>
      <c r="S105" s="64">
        <v>127.7</v>
      </c>
      <c r="T105" s="64">
        <v>129.4</v>
      </c>
      <c r="U105" s="64">
        <v>131.69999999999999</v>
      </c>
      <c r="V105" s="64">
        <v>131.69999999999999</v>
      </c>
      <c r="W105" s="64">
        <v>131.9</v>
      </c>
      <c r="X105" s="64">
        <v>129.80000000000001</v>
      </c>
      <c r="Y105" s="64">
        <v>130.9</v>
      </c>
      <c r="Z105" s="64">
        <v>130.6</v>
      </c>
      <c r="AA105" s="64">
        <v>129.6</v>
      </c>
      <c r="AB105" s="64">
        <v>129.69999999999999</v>
      </c>
      <c r="AC105" s="64">
        <v>129.5</v>
      </c>
      <c r="AD105" s="64">
        <v>131</v>
      </c>
      <c r="AE105" s="64">
        <v>131</v>
      </c>
      <c r="AF105" s="64">
        <v>131</v>
      </c>
      <c r="AG105" s="103"/>
      <c r="AH105" s="47">
        <f t="shared" si="8"/>
        <v>134</v>
      </c>
      <c r="AI105" s="48">
        <f t="shared" si="9"/>
        <v>127.5</v>
      </c>
    </row>
    <row r="106" spans="1:37" x14ac:dyDescent="0.25">
      <c r="A106" s="104" t="s">
        <v>114</v>
      </c>
      <c r="B106" s="105">
        <v>130</v>
      </c>
      <c r="C106" s="105">
        <v>134</v>
      </c>
      <c r="D106" s="105">
        <v>133</v>
      </c>
      <c r="E106" s="105">
        <v>133</v>
      </c>
      <c r="F106" s="105"/>
      <c r="G106" s="105">
        <v>131</v>
      </c>
      <c r="H106" s="105">
        <v>132.6</v>
      </c>
      <c r="I106" s="105">
        <v>132.6</v>
      </c>
      <c r="J106" s="105">
        <v>132.6</v>
      </c>
      <c r="K106" s="105">
        <v>132.69999999999999</v>
      </c>
      <c r="L106" s="105">
        <v>133.6</v>
      </c>
      <c r="M106" s="105">
        <v>133.6</v>
      </c>
      <c r="N106" s="105">
        <v>131.1</v>
      </c>
      <c r="O106" s="105">
        <v>131.19999999999999</v>
      </c>
      <c r="P106" s="105">
        <v>131.4</v>
      </c>
      <c r="Q106" s="105">
        <v>132.9</v>
      </c>
      <c r="R106" s="105">
        <v>132.69999999999999</v>
      </c>
      <c r="S106" s="105">
        <v>132.5</v>
      </c>
      <c r="T106" s="105">
        <v>133.30000000000001</v>
      </c>
      <c r="U106" s="105">
        <v>134</v>
      </c>
      <c r="V106" s="105">
        <v>133</v>
      </c>
      <c r="W106" s="105">
        <v>133.5</v>
      </c>
      <c r="X106" s="105">
        <v>133.5</v>
      </c>
      <c r="Y106" s="105">
        <v>133.80000000000001</v>
      </c>
      <c r="Z106" s="105">
        <v>131.4</v>
      </c>
      <c r="AA106" s="105">
        <v>134</v>
      </c>
      <c r="AB106" s="105">
        <v>134</v>
      </c>
      <c r="AC106" s="105">
        <v>135.1</v>
      </c>
      <c r="AD106" s="105">
        <v>132.6</v>
      </c>
      <c r="AE106" s="105">
        <v>132.6</v>
      </c>
      <c r="AF106" s="105">
        <v>132.6</v>
      </c>
      <c r="AG106" s="106"/>
      <c r="AH106" s="47">
        <f t="shared" si="8"/>
        <v>135.1</v>
      </c>
      <c r="AI106" s="48">
        <f t="shared" si="9"/>
        <v>130</v>
      </c>
    </row>
    <row r="107" spans="1:37" x14ac:dyDescent="0.25">
      <c r="A107" s="102" t="s">
        <v>115</v>
      </c>
      <c r="B107" s="64">
        <v>133</v>
      </c>
      <c r="C107" s="64">
        <v>130</v>
      </c>
      <c r="D107" s="64">
        <v>131</v>
      </c>
      <c r="E107" s="64">
        <v>129.9</v>
      </c>
      <c r="F107" s="64"/>
      <c r="G107" s="64">
        <v>130.6</v>
      </c>
      <c r="H107" s="64">
        <v>131.1</v>
      </c>
      <c r="I107" s="64">
        <v>131.1</v>
      </c>
      <c r="J107" s="64">
        <v>131.1</v>
      </c>
      <c r="K107" s="64">
        <v>133.80000000000001</v>
      </c>
      <c r="L107" s="64">
        <v>131.19999999999999</v>
      </c>
      <c r="M107" s="64">
        <v>131.19999999999999</v>
      </c>
      <c r="N107" s="64">
        <v>129.9</v>
      </c>
      <c r="O107" s="64">
        <v>130</v>
      </c>
      <c r="P107" s="64">
        <v>129.30000000000001</v>
      </c>
      <c r="Q107" s="64">
        <v>133.1</v>
      </c>
      <c r="R107" s="64">
        <v>130</v>
      </c>
      <c r="S107" s="64">
        <v>128.6</v>
      </c>
      <c r="T107" s="64">
        <v>136.30000000000001</v>
      </c>
      <c r="U107" s="64">
        <v>137</v>
      </c>
      <c r="V107" s="64">
        <v>137.69999999999999</v>
      </c>
      <c r="W107" s="64">
        <v>133.4</v>
      </c>
      <c r="X107" s="64">
        <v>133.69999999999999</v>
      </c>
      <c r="Y107" s="64">
        <v>129.30000000000001</v>
      </c>
      <c r="Z107" s="64">
        <v>130</v>
      </c>
      <c r="AA107" s="64">
        <v>135.30000000000001</v>
      </c>
      <c r="AB107" s="64">
        <v>133.30000000000001</v>
      </c>
      <c r="AC107" s="64">
        <v>130.19999999999999</v>
      </c>
      <c r="AD107" s="64">
        <v>131.69999999999999</v>
      </c>
      <c r="AE107" s="64">
        <v>131.69999999999999</v>
      </c>
      <c r="AF107" s="64">
        <v>131.69999999999999</v>
      </c>
      <c r="AG107" s="103"/>
      <c r="AH107" s="47">
        <f t="shared" si="8"/>
        <v>137.69999999999999</v>
      </c>
      <c r="AI107" s="48">
        <f t="shared" si="9"/>
        <v>128.6</v>
      </c>
    </row>
    <row r="108" spans="1:37" ht="15.75" thickBot="1" x14ac:dyDescent="0.3">
      <c r="A108" s="102" t="s">
        <v>116</v>
      </c>
      <c r="B108" s="91">
        <v>65</v>
      </c>
      <c r="C108" s="91">
        <v>63.9</v>
      </c>
      <c r="D108" s="91">
        <v>64</v>
      </c>
      <c r="E108" s="91">
        <v>64.599999999999994</v>
      </c>
      <c r="F108" s="91"/>
      <c r="G108" s="91">
        <v>64.5</v>
      </c>
      <c r="H108" s="91">
        <v>65.2</v>
      </c>
      <c r="I108" s="91">
        <v>65.2</v>
      </c>
      <c r="J108" s="91">
        <v>65.2</v>
      </c>
      <c r="K108" s="91">
        <v>64</v>
      </c>
      <c r="L108" s="91">
        <v>64</v>
      </c>
      <c r="M108" s="91">
        <v>64</v>
      </c>
      <c r="N108" s="91">
        <v>63.2</v>
      </c>
      <c r="O108" s="91">
        <v>63.3</v>
      </c>
      <c r="P108" s="91">
        <v>63.4</v>
      </c>
      <c r="Q108" s="91">
        <v>63.8</v>
      </c>
      <c r="R108" s="91">
        <v>63.9</v>
      </c>
      <c r="S108" s="91">
        <v>64.2</v>
      </c>
      <c r="T108" s="91">
        <v>64.400000000000006</v>
      </c>
      <c r="U108" s="91">
        <v>64.5</v>
      </c>
      <c r="V108" s="91">
        <v>65.5</v>
      </c>
      <c r="W108" s="91">
        <v>65.5</v>
      </c>
      <c r="X108" s="91">
        <v>65.099999999999994</v>
      </c>
      <c r="Y108" s="91">
        <v>65.099999999999994</v>
      </c>
      <c r="Z108" s="91">
        <v>65.2</v>
      </c>
      <c r="AA108" s="91">
        <v>65.400000000000006</v>
      </c>
      <c r="AB108" s="91">
        <v>65.599999999999994</v>
      </c>
      <c r="AC108" s="91">
        <v>66.2</v>
      </c>
      <c r="AD108" s="91">
        <v>65.400000000000006</v>
      </c>
      <c r="AE108" s="91">
        <v>65.400000000000006</v>
      </c>
      <c r="AF108" s="91">
        <v>65.400000000000006</v>
      </c>
      <c r="AG108" s="107"/>
      <c r="AH108" s="47">
        <f t="shared" si="8"/>
        <v>66.2</v>
      </c>
      <c r="AI108" s="48">
        <f t="shared" si="9"/>
        <v>63.2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>SUM(B20,B26,B29:B30,B58,B60:B61,B63,B65,B111:B115,B138,B144,B150,B159,B161,B173,B180,B183:B184,B191,B193,B195,B199:B201,B203:B205,B210,B216:B217,B219:B221,B229,B234)</f>
        <v>41</v>
      </c>
      <c r="C110" s="110">
        <f t="shared" ref="C110:O110" si="16">SUM(C20,C26,C29:C30,C58,C60:C61,C63,C65,C111:C115,C138,C144,C150,C159,C161,C173,C180,C183:C184,C191,C193,C195,C199:C201,C203:C205,C210,C216:C217,C219:C221,C229,C234)</f>
        <v>39.94</v>
      </c>
      <c r="D110" s="110">
        <f>SUM(D20,D26,D29:D30,D58,D60:D61,D63,D65,D111:D115,D138,D144,D150,D159,D161,D173,D180,D183:D184,D191,D193,D195,D199:D201,D203:D205,D210,D216:D217,D219:D221,D229,D234)</f>
        <v>29.94</v>
      </c>
      <c r="E110" s="110">
        <f t="shared" si="16"/>
        <v>17.939999999999984</v>
      </c>
      <c r="F110" s="110">
        <f t="shared" si="16"/>
        <v>0.94</v>
      </c>
      <c r="G110" s="110">
        <f t="shared" si="16"/>
        <v>66.04000000000002</v>
      </c>
      <c r="H110" s="110">
        <f t="shared" si="16"/>
        <v>75.640000000000015</v>
      </c>
      <c r="I110" s="110">
        <f>SUM(I20,I26,I29:I30,I58,I60:I61,I63,I65,I111:I115,I138,I144,I150,I159,I161,I173,I180,I183:I184,I191,I193,I195,I199:I201,I203:I205,I210,I216:I217,I219:I221,I229,I234)</f>
        <v>75.640000000000015</v>
      </c>
      <c r="J110" s="110">
        <f>SUM(J20,J26,J29:J30,J58,J60:J61,J63,J65,J111:J115,J138,J144,J150,J159,J161,J173,J180,J183:J184,J191,J193,J195,J199:J201,J203:J205,J210,J216:J217,J219:J221,J229,J234)</f>
        <v>92.539999999999978</v>
      </c>
      <c r="K110" s="110">
        <f>SUM(K20,K26,K29:K30,K58,K60:K61,K63,K65,K111:K115,K138,K144,K150,K159,K161,K173,K180,K183:K184,K191,K193,K195,K199:K201,K203:K205,K210,K216:K217,K219:K221,K229,K234)</f>
        <v>123.24000000000001</v>
      </c>
      <c r="L110" s="110">
        <f>SUM(L20,L26,L29:L30,L58,L60:L61,L63,L65,L111:L115,L138,L144,L150,L159,L161,L173,L180,L183:L184,L191,L193,L195,L199:L201,L203:L205,L210,L216:L217,L219:L221,L229,L234)</f>
        <v>212.64</v>
      </c>
      <c r="M110" s="110">
        <f>SUM(M20,M26,M29:M30,M58,M60:M61,M63,M65,M111:M115,M138,M144,M150,M159,M161,M173,M180,M183:M184,M191,M193,M195,M199:M201,M203:M205,M210,M216:M217,M219:M221,M229,M234)</f>
        <v>211.34</v>
      </c>
      <c r="N110" s="110">
        <f t="shared" si="16"/>
        <v>212.64000000000001</v>
      </c>
      <c r="O110" s="110">
        <f t="shared" si="16"/>
        <v>209.54000000000002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215</v>
      </c>
      <c r="R110" s="110">
        <f t="shared" si="17"/>
        <v>170.89999999999998</v>
      </c>
      <c r="S110" s="110">
        <f t="shared" si="17"/>
        <v>187.99999999999997</v>
      </c>
      <c r="T110" s="110">
        <f t="shared" si="17"/>
        <v>193.3</v>
      </c>
      <c r="U110" s="110">
        <f t="shared" si="17"/>
        <v>199.2</v>
      </c>
      <c r="V110" s="110">
        <f t="shared" si="17"/>
        <v>196.89999999999998</v>
      </c>
      <c r="W110" s="110">
        <f t="shared" si="17"/>
        <v>202.6</v>
      </c>
      <c r="X110" s="110">
        <f t="shared" si="17"/>
        <v>285.2</v>
      </c>
      <c r="Y110" s="110">
        <f t="shared" si="17"/>
        <v>283.89999999999998</v>
      </c>
      <c r="Z110" s="110">
        <f t="shared" si="17"/>
        <v>276.2</v>
      </c>
      <c r="AA110" s="110">
        <f>SUM(AA20,AA26,AA29:AA30,AA58,AA60:AA61,AA63,AA65,AA111:AA115,AA138,AA144,AA150,AA159,AA161,AA173,AA180,AA183:AA184,AA191,AA193,AA195,AA199:AA201,AA203:AA205,AA210,AA216:AA217,AA219:AA221,AA229,AA234)</f>
        <v>221.7</v>
      </c>
      <c r="AB110" s="110">
        <f t="shared" si="17"/>
        <v>188.29999999999998</v>
      </c>
      <c r="AC110" s="110">
        <f t="shared" si="17"/>
        <v>159.69999999999999</v>
      </c>
      <c r="AD110" s="110"/>
      <c r="AE110" s="110">
        <f t="shared" si="17"/>
        <v>86.700000000000017</v>
      </c>
      <c r="AF110" s="110">
        <f t="shared" si="17"/>
        <v>52.20000000000001</v>
      </c>
      <c r="AG110" s="111"/>
      <c r="AH110" s="47">
        <f t="shared" si="8"/>
        <v>285.2</v>
      </c>
      <c r="AI110" s="48">
        <f t="shared" si="9"/>
        <v>0.94</v>
      </c>
    </row>
    <row r="111" spans="1:37" x14ac:dyDescent="0.25">
      <c r="A111" s="99" t="s">
        <v>119</v>
      </c>
      <c r="B111" s="112">
        <v>26</v>
      </c>
      <c r="C111" s="112">
        <v>26</v>
      </c>
      <c r="D111" s="112">
        <v>25</v>
      </c>
      <c r="E111" s="112">
        <v>17.2</v>
      </c>
      <c r="F111" s="112"/>
      <c r="G111" s="112">
        <v>41.1</v>
      </c>
      <c r="H111" s="112">
        <v>44.3</v>
      </c>
      <c r="I111" s="112">
        <v>44.3</v>
      </c>
      <c r="J111" s="112">
        <v>27.6</v>
      </c>
      <c r="K111" s="112">
        <v>40.299999999999997</v>
      </c>
      <c r="L111" s="112">
        <v>46.3</v>
      </c>
      <c r="M111" s="112">
        <v>47.4</v>
      </c>
      <c r="N111" s="112">
        <v>47.4</v>
      </c>
      <c r="O111" s="112">
        <v>53.6</v>
      </c>
      <c r="P111" s="112">
        <v>49.1</v>
      </c>
      <c r="Q111" s="112">
        <v>51.6</v>
      </c>
      <c r="R111" s="112">
        <v>47.9</v>
      </c>
      <c r="S111" s="112">
        <v>43.4</v>
      </c>
      <c r="T111" s="112">
        <v>41.8</v>
      </c>
      <c r="U111" s="112">
        <v>45.9</v>
      </c>
      <c r="V111" s="112">
        <v>41.6</v>
      </c>
      <c r="W111" s="112">
        <v>42.5</v>
      </c>
      <c r="X111" s="112">
        <v>70.5</v>
      </c>
      <c r="Y111" s="112">
        <v>70</v>
      </c>
      <c r="Z111" s="112">
        <v>71.5</v>
      </c>
      <c r="AA111" s="112">
        <v>71.5</v>
      </c>
      <c r="AB111" s="112">
        <v>72.400000000000006</v>
      </c>
      <c r="AC111" s="112">
        <v>35.5</v>
      </c>
      <c r="AD111" s="112">
        <v>39.6</v>
      </c>
      <c r="AE111" s="112">
        <v>32</v>
      </c>
      <c r="AF111" s="112">
        <v>25</v>
      </c>
      <c r="AG111" s="113">
        <v>75</v>
      </c>
      <c r="AH111" s="47">
        <f t="shared" si="8"/>
        <v>72.400000000000006</v>
      </c>
      <c r="AI111" s="48">
        <f t="shared" si="9"/>
        <v>17.2</v>
      </c>
    </row>
    <row r="112" spans="1:37" x14ac:dyDescent="0.25">
      <c r="A112" s="102" t="s">
        <v>120</v>
      </c>
      <c r="B112" s="114">
        <v>38</v>
      </c>
      <c r="C112" s="114">
        <v>40</v>
      </c>
      <c r="D112" s="114">
        <v>39</v>
      </c>
      <c r="E112" s="114">
        <v>24.9</v>
      </c>
      <c r="F112" s="114"/>
      <c r="G112" s="114">
        <v>56.7</v>
      </c>
      <c r="H112" s="114">
        <v>63.3</v>
      </c>
      <c r="I112" s="114">
        <v>63.3</v>
      </c>
      <c r="J112" s="114">
        <v>40.799999999999997</v>
      </c>
      <c r="K112" s="114">
        <v>60.6</v>
      </c>
      <c r="L112" s="114">
        <v>66.8</v>
      </c>
      <c r="M112" s="114">
        <v>70.099999999999994</v>
      </c>
      <c r="N112" s="114">
        <v>70.099999999999994</v>
      </c>
      <c r="O112" s="114">
        <v>78.7</v>
      </c>
      <c r="P112" s="114">
        <v>72.900000000000006</v>
      </c>
      <c r="Q112" s="114">
        <v>76.3</v>
      </c>
      <c r="R112" s="114">
        <v>71.3</v>
      </c>
      <c r="S112" s="114">
        <v>64.5</v>
      </c>
      <c r="T112" s="114">
        <v>62.5</v>
      </c>
      <c r="U112" s="114">
        <v>67.900000000000006</v>
      </c>
      <c r="V112" s="114">
        <v>53.8</v>
      </c>
      <c r="W112" s="114">
        <v>55.3</v>
      </c>
      <c r="X112" s="114">
        <v>98.5</v>
      </c>
      <c r="Y112" s="114">
        <v>98.7</v>
      </c>
      <c r="Z112" s="114">
        <v>100.5</v>
      </c>
      <c r="AA112" s="114">
        <v>102</v>
      </c>
      <c r="AB112" s="114">
        <v>104.6</v>
      </c>
      <c r="AC112" s="114">
        <v>49.5</v>
      </c>
      <c r="AD112" s="114">
        <v>55.5</v>
      </c>
      <c r="AE112" s="114">
        <v>49.5</v>
      </c>
      <c r="AF112" s="114">
        <v>41.1</v>
      </c>
      <c r="AG112" s="113">
        <v>240</v>
      </c>
      <c r="AH112" s="47">
        <f t="shared" si="8"/>
        <v>104.6</v>
      </c>
      <c r="AI112" s="48">
        <f t="shared" si="9"/>
        <v>24.9</v>
      </c>
    </row>
    <row r="113" spans="1:37" x14ac:dyDescent="0.25">
      <c r="A113" s="102" t="s">
        <v>121</v>
      </c>
      <c r="B113" s="114">
        <v>-165</v>
      </c>
      <c r="C113" s="114">
        <v>-160</v>
      </c>
      <c r="D113" s="114">
        <v>-166</v>
      </c>
      <c r="E113" s="114">
        <v>-157.30000000000001</v>
      </c>
      <c r="F113" s="114"/>
      <c r="G113" s="114">
        <v>-122.1</v>
      </c>
      <c r="H113" s="114">
        <v>-153.4</v>
      </c>
      <c r="I113" s="114">
        <v>-153.4</v>
      </c>
      <c r="J113" s="114">
        <v>-114.8</v>
      </c>
      <c r="K113" s="114">
        <v>-126.8</v>
      </c>
      <c r="L113" s="114">
        <v>-98</v>
      </c>
      <c r="M113" s="114">
        <v>-100</v>
      </c>
      <c r="N113" s="114">
        <v>-100</v>
      </c>
      <c r="O113" s="114">
        <v>-119</v>
      </c>
      <c r="P113" s="114">
        <v>-120</v>
      </c>
      <c r="Q113" s="114">
        <v>-102</v>
      </c>
      <c r="R113" s="114">
        <v>-125</v>
      </c>
      <c r="S113" s="114">
        <f>-51.9-57</f>
        <v>-108.9</v>
      </c>
      <c r="T113" s="114">
        <v>-108</v>
      </c>
      <c r="U113" s="114">
        <v>-102</v>
      </c>
      <c r="V113" s="114">
        <v>-70</v>
      </c>
      <c r="W113" s="114">
        <v>-68</v>
      </c>
      <c r="X113" s="114">
        <v>-100</v>
      </c>
      <c r="Y113" s="114">
        <v>-100</v>
      </c>
      <c r="Z113" s="114">
        <v>-100</v>
      </c>
      <c r="AA113" s="114">
        <v>-148</v>
      </c>
      <c r="AB113" s="114">
        <f>-80-90</f>
        <v>-170</v>
      </c>
      <c r="AC113" s="114">
        <f>-56-68</f>
        <v>-124</v>
      </c>
      <c r="AD113" s="114">
        <v>-159</v>
      </c>
      <c r="AE113" s="114">
        <v>-162</v>
      </c>
      <c r="AF113" s="114">
        <v>-165</v>
      </c>
      <c r="AG113" s="113">
        <v>240</v>
      </c>
      <c r="AH113" s="47">
        <f t="shared" si="8"/>
        <v>-68</v>
      </c>
      <c r="AI113" s="48">
        <f t="shared" si="9"/>
        <v>-170</v>
      </c>
    </row>
    <row r="114" spans="1:37" x14ac:dyDescent="0.25">
      <c r="A114" s="102" t="s">
        <v>122</v>
      </c>
      <c r="B114" s="114">
        <v>-3</v>
      </c>
      <c r="C114" s="114">
        <v>-12</v>
      </c>
      <c r="D114" s="114">
        <v>-14</v>
      </c>
      <c r="E114" s="114">
        <v>-12.8</v>
      </c>
      <c r="F114" s="114"/>
      <c r="G114" s="114">
        <v>-9.6</v>
      </c>
      <c r="H114" s="114">
        <v>-10.5</v>
      </c>
      <c r="I114" s="114">
        <v>-10.5</v>
      </c>
      <c r="J114" s="114">
        <v>-3</v>
      </c>
      <c r="K114" s="114">
        <v>7.2</v>
      </c>
      <c r="L114" s="114">
        <v>10</v>
      </c>
      <c r="M114" s="114">
        <v>5.4</v>
      </c>
      <c r="N114" s="114">
        <v>5.4</v>
      </c>
      <c r="O114" s="114">
        <v>6.5</v>
      </c>
      <c r="P114" s="114">
        <v>10.199999999999999</v>
      </c>
      <c r="Q114" s="114">
        <v>0.3</v>
      </c>
      <c r="R114" s="114">
        <v>-3.8</v>
      </c>
      <c r="S114" s="114">
        <v>0</v>
      </c>
      <c r="T114" s="114">
        <v>8</v>
      </c>
      <c r="U114" s="114">
        <v>0.2</v>
      </c>
      <c r="V114" s="114">
        <v>4.3</v>
      </c>
      <c r="W114" s="114">
        <v>6.6</v>
      </c>
      <c r="X114" s="114">
        <v>30</v>
      </c>
      <c r="Y114" s="114">
        <v>30</v>
      </c>
      <c r="Z114" s="114">
        <v>19</v>
      </c>
      <c r="AA114" s="114">
        <v>13</v>
      </c>
      <c r="AB114" s="114">
        <v>-2.1</v>
      </c>
      <c r="AC114" s="114">
        <v>15.3</v>
      </c>
      <c r="AD114" s="114">
        <v>1</v>
      </c>
      <c r="AE114" s="114">
        <v>-3.5</v>
      </c>
      <c r="AF114" s="114">
        <v>-19.600000000000001</v>
      </c>
      <c r="AG114" s="113">
        <v>60</v>
      </c>
      <c r="AH114" s="47">
        <f t="shared" si="8"/>
        <v>30</v>
      </c>
      <c r="AI114" s="48">
        <f t="shared" si="9"/>
        <v>-19.600000000000001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/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8"/>
        <v>0</v>
      </c>
      <c r="AI115" s="48">
        <f t="shared" si="9"/>
        <v>0</v>
      </c>
    </row>
    <row r="116" spans="1:37" x14ac:dyDescent="0.25">
      <c r="A116" s="115" t="s">
        <v>124</v>
      </c>
      <c r="B116" s="116">
        <v>63</v>
      </c>
      <c r="C116" s="116">
        <v>60</v>
      </c>
      <c r="D116" s="116">
        <v>55</v>
      </c>
      <c r="E116" s="116">
        <v>52.2</v>
      </c>
      <c r="F116" s="116"/>
      <c r="G116" s="116"/>
      <c r="H116" s="116"/>
      <c r="I116" s="116"/>
      <c r="J116" s="116">
        <v>47.2</v>
      </c>
      <c r="K116" s="116">
        <v>47.2</v>
      </c>
      <c r="L116" s="116">
        <v>71</v>
      </c>
      <c r="M116" s="116">
        <v>35.700000000000003</v>
      </c>
      <c r="N116" s="116">
        <v>35.700000000000003</v>
      </c>
      <c r="O116" s="116">
        <v>20.2</v>
      </c>
      <c r="P116" s="116">
        <v>66</v>
      </c>
      <c r="Q116" s="116">
        <v>61.7</v>
      </c>
      <c r="R116" s="116">
        <v>33.5</v>
      </c>
      <c r="S116" s="116">
        <v>55.5</v>
      </c>
      <c r="T116" s="116">
        <v>25.4</v>
      </c>
      <c r="U116" s="116">
        <v>32</v>
      </c>
      <c r="V116" s="116">
        <v>31.9</v>
      </c>
      <c r="W116" s="116">
        <v>40.299999999999997</v>
      </c>
      <c r="X116" s="116">
        <v>21</v>
      </c>
      <c r="Y116" s="116">
        <v>21</v>
      </c>
      <c r="Z116" s="116">
        <v>28</v>
      </c>
      <c r="AA116" s="116">
        <v>50</v>
      </c>
      <c r="AB116" s="116">
        <v>23.9</v>
      </c>
      <c r="AC116" s="116">
        <v>-3.5</v>
      </c>
      <c r="AD116" s="116">
        <v>-20.100000000000001</v>
      </c>
      <c r="AE116" s="116">
        <v>-5.6</v>
      </c>
      <c r="AF116" s="116">
        <v>12</v>
      </c>
      <c r="AG116" s="117"/>
      <c r="AH116" s="47">
        <f t="shared" si="8"/>
        <v>71</v>
      </c>
      <c r="AI116" s="48">
        <f t="shared" si="9"/>
        <v>-20.100000000000001</v>
      </c>
    </row>
    <row r="117" spans="1:37" x14ac:dyDescent="0.25">
      <c r="A117" s="115" t="s">
        <v>125</v>
      </c>
      <c r="B117" s="116">
        <v>-28</v>
      </c>
      <c r="C117" s="116">
        <v>1.3</v>
      </c>
      <c r="D117" s="116">
        <v>-1</v>
      </c>
      <c r="E117" s="116">
        <v>0</v>
      </c>
      <c r="F117" s="116"/>
      <c r="G117" s="116">
        <v>-2.5</v>
      </c>
      <c r="H117" s="116">
        <v>-13.3</v>
      </c>
      <c r="I117" s="116">
        <v>-13.3</v>
      </c>
      <c r="J117" s="116">
        <v>-8.4</v>
      </c>
      <c r="K117" s="116">
        <v>-39.1</v>
      </c>
      <c r="L117" s="116">
        <v>-39.700000000000003</v>
      </c>
      <c r="M117" s="116">
        <v>-56.3</v>
      </c>
      <c r="N117" s="116">
        <v>-56.3</v>
      </c>
      <c r="O117" s="116">
        <v>76</v>
      </c>
      <c r="P117" s="116">
        <v>-55.4</v>
      </c>
      <c r="Q117" s="116">
        <v>-46.8</v>
      </c>
      <c r="R117" s="116">
        <v>-40</v>
      </c>
      <c r="S117" s="116">
        <v>-32.299999999999997</v>
      </c>
      <c r="T117" s="116">
        <v>-27.3</v>
      </c>
      <c r="U117" s="116">
        <v>-41.2</v>
      </c>
      <c r="V117" s="116">
        <v>-39</v>
      </c>
      <c r="W117" s="116">
        <v>-38</v>
      </c>
      <c r="X117" s="116">
        <v>-28</v>
      </c>
      <c r="Y117" s="116">
        <v>-28</v>
      </c>
      <c r="Z117" s="116">
        <v>-31</v>
      </c>
      <c r="AA117" s="116">
        <v>-3.5</v>
      </c>
      <c r="AB117" s="116">
        <v>-14.6</v>
      </c>
      <c r="AC117" s="116">
        <v>-21.1</v>
      </c>
      <c r="AD117" s="116">
        <v>-27</v>
      </c>
      <c r="AE117" s="116">
        <v>-10</v>
      </c>
      <c r="AF117" s="116">
        <v>-1.3</v>
      </c>
      <c r="AG117" s="118"/>
      <c r="AH117" s="47">
        <f t="shared" si="8"/>
        <v>76</v>
      </c>
      <c r="AI117" s="48">
        <f t="shared" si="9"/>
        <v>-56.3</v>
      </c>
    </row>
    <row r="118" spans="1:37" x14ac:dyDescent="0.25">
      <c r="A118" s="119" t="s">
        <v>126</v>
      </c>
      <c r="B118" s="105">
        <v>44</v>
      </c>
      <c r="C118" s="105">
        <v>61</v>
      </c>
      <c r="D118" s="105">
        <v>62</v>
      </c>
      <c r="E118" s="105">
        <v>61.4</v>
      </c>
      <c r="F118" s="105"/>
      <c r="G118" s="105">
        <v>51</v>
      </c>
      <c r="H118" s="105">
        <v>47.7</v>
      </c>
      <c r="I118" s="105">
        <v>47.7</v>
      </c>
      <c r="J118" s="105">
        <v>62.9</v>
      </c>
      <c r="K118" s="105">
        <v>69.3</v>
      </c>
      <c r="L118" s="105">
        <v>58.7</v>
      </c>
      <c r="M118" s="105">
        <v>55</v>
      </c>
      <c r="N118" s="105">
        <v>55</v>
      </c>
      <c r="O118" s="105">
        <v>54</v>
      </c>
      <c r="P118" s="105">
        <v>52.7</v>
      </c>
      <c r="Q118" s="105">
        <v>47.9</v>
      </c>
      <c r="R118" s="105">
        <v>55</v>
      </c>
      <c r="S118" s="105">
        <v>52.9</v>
      </c>
      <c r="T118" s="105">
        <v>52.4</v>
      </c>
      <c r="U118" s="105">
        <v>54</v>
      </c>
      <c r="V118" s="105">
        <v>49</v>
      </c>
      <c r="W118" s="105">
        <v>49</v>
      </c>
      <c r="X118" s="105">
        <v>36</v>
      </c>
      <c r="Y118" s="105">
        <v>36</v>
      </c>
      <c r="Z118" s="105">
        <v>41.6</v>
      </c>
      <c r="AA118" s="105">
        <v>38.6</v>
      </c>
      <c r="AB118" s="105">
        <v>40.6</v>
      </c>
      <c r="AC118" s="105">
        <v>42.9</v>
      </c>
      <c r="AD118" s="105">
        <v>46.1</v>
      </c>
      <c r="AE118" s="105">
        <v>48</v>
      </c>
      <c r="AF118" s="105">
        <v>54.6</v>
      </c>
      <c r="AG118" s="118"/>
      <c r="AH118" s="47">
        <f t="shared" si="8"/>
        <v>69.3</v>
      </c>
      <c r="AI118" s="48">
        <f t="shared" si="9"/>
        <v>36</v>
      </c>
    </row>
    <row r="119" spans="1:37" x14ac:dyDescent="0.25">
      <c r="A119" s="120" t="s">
        <v>127</v>
      </c>
      <c r="B119" s="105">
        <v>74</v>
      </c>
      <c r="C119" s="105">
        <v>60</v>
      </c>
      <c r="D119" s="105">
        <v>65</v>
      </c>
      <c r="E119" s="105">
        <v>59</v>
      </c>
      <c r="F119" s="105"/>
      <c r="G119" s="105">
        <v>69.900000000000006</v>
      </c>
      <c r="H119" s="105">
        <v>57.7</v>
      </c>
      <c r="I119" s="105">
        <v>57.7</v>
      </c>
      <c r="J119" s="105">
        <v>57.7</v>
      </c>
      <c r="K119" s="105">
        <v>71.5</v>
      </c>
      <c r="L119" s="105">
        <v>59.2</v>
      </c>
      <c r="M119" s="105">
        <v>68.7</v>
      </c>
      <c r="N119" s="105">
        <v>68.7</v>
      </c>
      <c r="O119" s="105">
        <v>82.5</v>
      </c>
      <c r="P119" s="105">
        <v>70.7</v>
      </c>
      <c r="Q119" s="105">
        <v>66.400000000000006</v>
      </c>
      <c r="R119" s="105">
        <v>78.400000000000006</v>
      </c>
      <c r="S119" s="105">
        <v>66.2</v>
      </c>
      <c r="T119" s="105">
        <v>73.099999999999994</v>
      </c>
      <c r="U119" s="105">
        <v>67.2</v>
      </c>
      <c r="V119" s="105">
        <v>49</v>
      </c>
      <c r="W119" s="105">
        <v>46</v>
      </c>
      <c r="X119" s="105">
        <v>59</v>
      </c>
      <c r="Y119" s="105">
        <v>59</v>
      </c>
      <c r="Z119" s="105">
        <v>64.400000000000006</v>
      </c>
      <c r="AA119" s="105">
        <v>63</v>
      </c>
      <c r="AB119" s="105">
        <v>77.5</v>
      </c>
      <c r="AC119" s="105">
        <v>87.8</v>
      </c>
      <c r="AD119" s="105">
        <v>96.2</v>
      </c>
      <c r="AE119" s="105">
        <v>99</v>
      </c>
      <c r="AF119" s="105">
        <v>92</v>
      </c>
      <c r="AG119" s="118"/>
      <c r="AH119" s="47">
        <f t="shared" si="8"/>
        <v>99</v>
      </c>
      <c r="AI119" s="48">
        <f t="shared" si="9"/>
        <v>46</v>
      </c>
    </row>
    <row r="120" spans="1:37" ht="15.75" thickBot="1" x14ac:dyDescent="0.3">
      <c r="A120" s="119" t="s">
        <v>128</v>
      </c>
      <c r="B120" s="105">
        <v>-1</v>
      </c>
      <c r="C120" s="105">
        <v>-8</v>
      </c>
      <c r="D120" s="105">
        <v>-8</v>
      </c>
      <c r="E120" s="105">
        <v>-13.4</v>
      </c>
      <c r="F120" s="105"/>
      <c r="G120" s="105">
        <v>0</v>
      </c>
      <c r="H120" s="105">
        <v>-5.7</v>
      </c>
      <c r="I120" s="105">
        <v>-5.7</v>
      </c>
      <c r="J120" s="105">
        <v>-5.7</v>
      </c>
      <c r="K120" s="105">
        <v>-22.3</v>
      </c>
      <c r="L120" s="105">
        <v>-16.2</v>
      </c>
      <c r="M120" s="105">
        <v>-9.4</v>
      </c>
      <c r="N120" s="105">
        <v>-9.4</v>
      </c>
      <c r="O120" s="105">
        <v>-1.3</v>
      </c>
      <c r="P120" s="105">
        <v>1</v>
      </c>
      <c r="Q120" s="105">
        <v>6.7</v>
      </c>
      <c r="R120" s="105">
        <v>5.7</v>
      </c>
      <c r="S120" s="105">
        <v>11.4</v>
      </c>
      <c r="T120" s="105">
        <v>11</v>
      </c>
      <c r="U120" s="105">
        <v>2</v>
      </c>
      <c r="V120" s="105">
        <v>-3</v>
      </c>
      <c r="W120" s="105">
        <v>-0.3</v>
      </c>
      <c r="X120" s="105">
        <v>24</v>
      </c>
      <c r="Y120" s="105">
        <v>24</v>
      </c>
      <c r="Z120" s="105">
        <v>22.5</v>
      </c>
      <c r="AA120" s="105">
        <v>27</v>
      </c>
      <c r="AB120" s="105">
        <v>23.6</v>
      </c>
      <c r="AC120" s="105">
        <v>26.9</v>
      </c>
      <c r="AD120" s="105">
        <v>26.6</v>
      </c>
      <c r="AE120" s="105">
        <v>19</v>
      </c>
      <c r="AF120" s="105">
        <v>15.7</v>
      </c>
      <c r="AG120" s="118"/>
      <c r="AH120" s="47">
        <f t="shared" si="8"/>
        <v>27</v>
      </c>
      <c r="AI120" s="48">
        <f t="shared" si="9"/>
        <v>-22.3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2126.1400000000003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15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2080/05/15)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2080/05/15)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1991.84</v>
      </c>
      <c r="U249" s="170">
        <f t="shared" si="22"/>
        <v>1989.1399999999999</v>
      </c>
      <c r="V249" s="170">
        <f t="shared" si="22"/>
        <v>1989.1399999999999</v>
      </c>
      <c r="W249" s="170">
        <f t="shared" si="22"/>
        <v>1989.1399999999999</v>
      </c>
      <c r="X249" s="170">
        <f t="shared" si="22"/>
        <v>0</v>
      </c>
      <c r="Y249" s="170">
        <f t="shared" si="22"/>
        <v>1781.2399999999998</v>
      </c>
      <c r="Z249" s="170">
        <f t="shared" si="22"/>
        <v>1837.54</v>
      </c>
      <c r="AA249" s="170">
        <f t="shared" si="22"/>
        <v>1894.3400000000001</v>
      </c>
      <c r="AB249" s="170">
        <f t="shared" si="22"/>
        <v>1941.3400000000001</v>
      </c>
      <c r="AC249" s="170">
        <f t="shared" si="22"/>
        <v>2024.8400000000001</v>
      </c>
      <c r="AD249" s="170">
        <f t="shared" si="22"/>
        <v>2081.14</v>
      </c>
      <c r="AE249" s="170">
        <f t="shared" si="22"/>
        <v>2100.6400000000003</v>
      </c>
      <c r="AF249" s="170">
        <f t="shared" si="22"/>
        <v>2126.1400000000003</v>
      </c>
      <c r="AG249" s="170">
        <f t="shared" si="22"/>
        <v>2069.54</v>
      </c>
      <c r="AH249" s="170">
        <f t="shared" si="22"/>
        <v>2086.94</v>
      </c>
      <c r="AI249" s="170">
        <f t="shared" si="22"/>
        <v>2081.34</v>
      </c>
      <c r="AJ249" s="170">
        <f t="shared" si="22"/>
        <v>2064.14</v>
      </c>
      <c r="AK249" s="170">
        <f t="shared" si="22"/>
        <v>2068.84</v>
      </c>
      <c r="AL249" s="170">
        <f t="shared" si="22"/>
        <v>2085.04</v>
      </c>
      <c r="AM249" s="170">
        <f t="shared" si="22"/>
        <v>2085.44</v>
      </c>
      <c r="AN249" s="170">
        <f t="shared" si="22"/>
        <v>2021.54</v>
      </c>
      <c r="AO249" s="170">
        <f t="shared" si="22"/>
        <v>2022.94</v>
      </c>
      <c r="AP249" s="170">
        <f t="shared" si="22"/>
        <v>2164.54</v>
      </c>
      <c r="AQ249" s="170">
        <f t="shared" si="22"/>
        <v>2199.04</v>
      </c>
      <c r="AR249" s="170">
        <f t="shared" si="22"/>
        <v>2154.94</v>
      </c>
      <c r="AS249" s="170">
        <f t="shared" si="22"/>
        <v>2160.44</v>
      </c>
      <c r="AT249" s="170">
        <f t="shared" si="22"/>
        <v>2164.64</v>
      </c>
      <c r="AU249" s="170">
        <f t="shared" si="22"/>
        <v>2220.94</v>
      </c>
      <c r="AV249" s="170">
        <f t="shared" si="22"/>
        <v>2132.38</v>
      </c>
      <c r="AW249" s="170">
        <f t="shared" si="22"/>
        <v>2092.6400000000003</v>
      </c>
      <c r="AX249" s="170">
        <f t="shared" si="22"/>
        <v>2105.1400000000003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2141" priority="64">
      <formula>$AH11=0</formula>
    </cfRule>
  </conditionalFormatting>
  <conditionalFormatting sqref="B8 M8 S8 AB8">
    <cfRule type="expression" dxfId="2140" priority="115">
      <formula>AND(C$9&gt;=14/24,C$9&lt;20/24)</formula>
    </cfRule>
    <cfRule type="expression" dxfId="2139" priority="116">
      <formula>AND(C$9&gt;=8/24,C$9&lt;14/24)</formula>
    </cfRule>
    <cfRule type="expression" dxfId="2138" priority="117">
      <formula>C$9&lt;8/24</formula>
    </cfRule>
  </conditionalFormatting>
  <conditionalFormatting sqref="B54:G54">
    <cfRule type="expression" dxfId="2137" priority="38">
      <formula>B$9&gt;=20/24</formula>
    </cfRule>
    <cfRule type="expression" dxfId="2136" priority="39">
      <formula>AND(B$9&gt;=14/24,B$9&lt;20/24)</formula>
    </cfRule>
    <cfRule type="expression" dxfId="2135" priority="40">
      <formula>AND(B$9&gt;=8/24,B$9&lt;14/24)</formula>
    </cfRule>
    <cfRule type="expression" dxfId="2134" priority="41">
      <formula>B$9&lt;8/24</formula>
    </cfRule>
  </conditionalFormatting>
  <conditionalFormatting sqref="B54:G66 H55:L66 L66:M66 M56:Q66 R59:R66 S61:AF66">
    <cfRule type="expression" dxfId="2133" priority="33">
      <formula>B54&gt;$AG54</formula>
    </cfRule>
  </conditionalFormatting>
  <conditionalFormatting sqref="B55:L59 M56:Q59 R59">
    <cfRule type="expression" dxfId="2132" priority="60">
      <formula>B$9&gt;=20/24</formula>
    </cfRule>
    <cfRule type="expression" dxfId="2131" priority="61">
      <formula>AND(B$9&gt;=14/24,B$9&lt;20/24)</formula>
    </cfRule>
    <cfRule type="expression" dxfId="2130" priority="62">
      <formula>AND(B$9&gt;=8/24,B$9&lt;14/24)</formula>
    </cfRule>
    <cfRule type="expression" dxfId="2129" priority="63">
      <formula>B$9&lt;8/24</formula>
    </cfRule>
  </conditionalFormatting>
  <conditionalFormatting sqref="B60:R60">
    <cfRule type="expression" dxfId="2128" priority="51">
      <formula>B$9&gt;=20/24</formula>
    </cfRule>
    <cfRule type="expression" dxfId="2127" priority="52">
      <formula>AND(B$9&gt;=14/24,B$9&lt;20/24)</formula>
    </cfRule>
    <cfRule type="expression" dxfId="2126" priority="53">
      <formula>AND(B$9&gt;=8/24,B$9&lt;14/24)</formula>
    </cfRule>
    <cfRule type="expression" dxfId="2125" priority="54">
      <formula>B$9&lt;8/24</formula>
    </cfRule>
  </conditionalFormatting>
  <conditionalFormatting sqref="B61:AF66">
    <cfRule type="expression" dxfId="2124" priority="34">
      <formula>B$9&gt;=20/24</formula>
    </cfRule>
    <cfRule type="expression" dxfId="2123" priority="35">
      <formula>AND(B$9&gt;=14/24,B$9&lt;20/24)</formula>
    </cfRule>
    <cfRule type="expression" dxfId="2122" priority="36">
      <formula>AND(B$9&gt;=8/24,B$9&lt;14/24)</formula>
    </cfRule>
    <cfRule type="expression" dxfId="2121" priority="37">
      <formula>B$9&lt;8/24</formula>
    </cfRule>
  </conditionalFormatting>
  <conditionalFormatting sqref="B9:AF45">
    <cfRule type="expression" dxfId="2120" priority="23">
      <formula>B$9&gt;=20/24</formula>
    </cfRule>
    <cfRule type="expression" dxfId="2119" priority="24">
      <formula>AND(B$9&gt;=14/24,B$9&lt;20/24)</formula>
    </cfRule>
    <cfRule type="expression" dxfId="2118" priority="25">
      <formula>AND(B$9&gt;=8/24,B$9&lt;14/24)</formula>
    </cfRule>
    <cfRule type="expression" dxfId="2117" priority="26">
      <formula>B$9&lt;8/24</formula>
    </cfRule>
  </conditionalFormatting>
  <conditionalFormatting sqref="B11:AF46">
    <cfRule type="expression" dxfId="2116" priority="22">
      <formula>B11&gt;$AG11</formula>
    </cfRule>
  </conditionalFormatting>
  <conditionalFormatting sqref="B46:AF46">
    <cfRule type="expression" dxfId="2115" priority="18">
      <formula>B$9&gt;=20/24</formula>
    </cfRule>
    <cfRule type="expression" dxfId="2114" priority="19">
      <formula>AND(B$9&gt;=14/24,B$9&lt;20/24)</formula>
    </cfRule>
    <cfRule type="expression" dxfId="2113" priority="20">
      <formula>AND(B$9&gt;=8/24,B$9&lt;14/24)</formula>
    </cfRule>
    <cfRule type="expression" dxfId="2112" priority="21">
      <formula>B$9&lt;8/24</formula>
    </cfRule>
  </conditionalFormatting>
  <conditionalFormatting sqref="B47:AF47">
    <cfRule type="expression" dxfId="2111" priority="32">
      <formula>B47&gt;$AG47</formula>
    </cfRule>
  </conditionalFormatting>
  <conditionalFormatting sqref="B47:AF49">
    <cfRule type="expression" dxfId="2110" priority="28">
      <formula>B$9&gt;=20/24</formula>
    </cfRule>
    <cfRule type="expression" dxfId="2109" priority="29">
      <formula>AND(B$9&gt;=14/24,B$9&lt;20/24)</formula>
    </cfRule>
    <cfRule type="expression" dxfId="2108" priority="30">
      <formula>AND(B$9&gt;=8/24,B$9&lt;14/24)</formula>
    </cfRule>
    <cfRule type="expression" dxfId="2107" priority="31">
      <formula>B$9&lt;8/24</formula>
    </cfRule>
  </conditionalFormatting>
  <conditionalFormatting sqref="B48:AF53">
    <cfRule type="expression" dxfId="2106" priority="27">
      <formula>B48&gt;$AG48</formula>
    </cfRule>
  </conditionalFormatting>
  <conditionalFormatting sqref="B51:AF53">
    <cfRule type="expression" dxfId="2105" priority="47">
      <formula>B$9&gt;=20/24</formula>
    </cfRule>
    <cfRule type="expression" dxfId="2104" priority="48">
      <formula>AND(B$9&gt;=14/24,B$9&lt;20/24)</formula>
    </cfRule>
    <cfRule type="expression" dxfId="2103" priority="49">
      <formula>AND(B$9&gt;=8/24,B$9&lt;14/24)</formula>
    </cfRule>
    <cfRule type="expression" dxfId="2102" priority="50">
      <formula>B$9&lt;8/24</formula>
    </cfRule>
  </conditionalFormatting>
  <conditionalFormatting sqref="B69:AF71">
    <cfRule type="expression" dxfId="2101" priority="55">
      <formula>B69&gt;$AG69</formula>
    </cfRule>
    <cfRule type="expression" dxfId="2100" priority="56">
      <formula>B$9&gt;=20/24</formula>
    </cfRule>
    <cfRule type="expression" dxfId="2099" priority="57">
      <formula>AND(B$9&gt;=14/24,B$9&lt;20/24)</formula>
    </cfRule>
    <cfRule type="expression" dxfId="2098" priority="58">
      <formula>AND(B$9&gt;=8/24,B$9&lt;14/24)</formula>
    </cfRule>
    <cfRule type="expression" dxfId="2097" priority="59">
      <formula>B$9&lt;8/24</formula>
    </cfRule>
  </conditionalFormatting>
  <conditionalFormatting sqref="B73:AF91">
    <cfRule type="expression" dxfId="2096" priority="1">
      <formula>B$9&gt;=20/24</formula>
    </cfRule>
    <cfRule type="expression" dxfId="2095" priority="2">
      <formula>AND(B$9&gt;=14/24,B$9&lt;20/24)</formula>
    </cfRule>
    <cfRule type="expression" dxfId="2094" priority="3">
      <formula>AND(B$9&gt;=8/24,B$9&lt;14/24)</formula>
    </cfRule>
    <cfRule type="expression" dxfId="2093" priority="4">
      <formula>B$9&lt;8/24</formula>
    </cfRule>
  </conditionalFormatting>
  <conditionalFormatting sqref="B111:AF120">
    <cfRule type="expression" dxfId="2092" priority="14">
      <formula>B$9&gt;=20/24</formula>
    </cfRule>
    <cfRule type="expression" dxfId="2091" priority="15">
      <formula>AND(B$9&gt;=14/24,B$9&lt;20/24)</formula>
    </cfRule>
    <cfRule type="expression" dxfId="2090" priority="16">
      <formula>AND(B$9&gt;=8/24,B$9&lt;14/24)</formula>
    </cfRule>
    <cfRule type="expression" dxfId="2089" priority="17">
      <formula>B$9&lt;8/24</formula>
    </cfRule>
  </conditionalFormatting>
  <conditionalFormatting sqref="B227:AF227 D229:AF230 B229:B235 D231:H231 J231:AF231 D232:AF235 U248:AF248">
    <cfRule type="expression" dxfId="2088" priority="108">
      <formula>B$9&gt;=20/24</formula>
    </cfRule>
    <cfRule type="expression" dxfId="2087" priority="109">
      <formula>AND(B$9&gt;=14/24,B$9&lt;20/24)</formula>
    </cfRule>
    <cfRule type="expression" dxfId="2086" priority="110">
      <formula>AND(B$9&gt;=8/24,B$9&lt;14/24)</formula>
    </cfRule>
    <cfRule type="expression" dxfId="2085" priority="111">
      <formula>B$9&lt;8/24</formula>
    </cfRule>
  </conditionalFormatting>
  <conditionalFormatting sqref="B67:AG68 B72:AG72">
    <cfRule type="expression" dxfId="2084" priority="42">
      <formula>B67&gt;$AG67</formula>
    </cfRule>
  </conditionalFormatting>
  <conditionalFormatting sqref="B72:AG72 B93:AF109">
    <cfRule type="expression" dxfId="2083" priority="43">
      <formula>B$9&gt;=20/24</formula>
    </cfRule>
    <cfRule type="expression" dxfId="2082" priority="44">
      <formula>AND(B$9&gt;=14/24,B$9&lt;20/24)</formula>
    </cfRule>
    <cfRule type="expression" dxfId="2081" priority="45">
      <formula>AND(B$9&gt;=8/24,B$9&lt;14/24)</formula>
    </cfRule>
    <cfRule type="expression" dxfId="2080" priority="46">
      <formula>B$9&lt;8/24</formula>
    </cfRule>
  </conditionalFormatting>
  <conditionalFormatting sqref="R55:S58 M55:Q55 S59:S66 T55:AF66">
    <cfRule type="expression" dxfId="2079" priority="5">
      <formula>M55&gt;$AG55</formula>
    </cfRule>
  </conditionalFormatting>
  <conditionalFormatting sqref="H54:AG54">
    <cfRule type="expression" dxfId="2078" priority="76">
      <formula>H54&gt;$AG54</formula>
    </cfRule>
    <cfRule type="expression" dxfId="2077" priority="77">
      <formula>H$9&gt;=20/24</formula>
    </cfRule>
    <cfRule type="expression" dxfId="2076" priority="78">
      <formula>AND(H$9&gt;=14/24,H$9&lt;20/24)</formula>
    </cfRule>
    <cfRule type="expression" dxfId="2075" priority="79">
      <formula>AND(H$9&gt;=8/24,H$9&lt;14/24)</formula>
    </cfRule>
    <cfRule type="expression" dxfId="2074" priority="80">
      <formula>H$9&lt;8/24</formula>
    </cfRule>
  </conditionalFormatting>
  <conditionalFormatting sqref="R55:R58 M55:Q55">
    <cfRule type="expression" dxfId="2073" priority="93">
      <formula>M$9&gt;=20/24</formula>
    </cfRule>
    <cfRule type="expression" dxfId="2072" priority="94">
      <formula>AND(M$9&gt;=14/24,M$9&lt;20/24)</formula>
    </cfRule>
    <cfRule type="expression" dxfId="2071" priority="95">
      <formula>AND(M$9&gt;=8/24,M$9&lt;14/24)</formula>
    </cfRule>
    <cfRule type="expression" dxfId="2070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069" priority="114">
      <formula>C$9&gt;=20/24</formula>
    </cfRule>
  </conditionalFormatting>
  <conditionalFormatting sqref="S8">
    <cfRule type="expression" dxfId="2068" priority="101">
      <formula>U$9&gt;=20/24</formula>
    </cfRule>
    <cfRule type="expression" dxfId="2067" priority="102">
      <formula>AND(U$9&gt;=14/24,U$9&lt;20/24)</formula>
    </cfRule>
    <cfRule type="expression" dxfId="2066" priority="103">
      <formula>AND(U$9&gt;=8/24,U$9&lt;14/24)</formula>
    </cfRule>
    <cfRule type="expression" dxfId="2065" priority="104">
      <formula>U$9&lt;8/24</formula>
    </cfRule>
  </conditionalFormatting>
  <conditionalFormatting sqref="S55:AF60">
    <cfRule type="expression" dxfId="2064" priority="10">
      <formula>S$9&gt;=20/24</formula>
    </cfRule>
    <cfRule type="expression" dxfId="2063" priority="11">
      <formula>AND(S$9&gt;=14/24,S$9&lt;20/24)</formula>
    </cfRule>
    <cfRule type="expression" dxfId="2062" priority="12">
      <formula>AND(S$9&gt;=8/24,S$9&lt;14/24)</formula>
    </cfRule>
    <cfRule type="expression" dxfId="2061" priority="13">
      <formula>S$9&lt;8/24</formula>
    </cfRule>
  </conditionalFormatting>
  <conditionalFormatting sqref="T248">
    <cfRule type="expression" dxfId="2060" priority="126">
      <formula>AX$9&gt;=20/24</formula>
    </cfRule>
    <cfRule type="expression" dxfId="2059" priority="127">
      <formula>AND(AX$9&gt;=14/24,AX$9&lt;20/24)</formula>
    </cfRule>
    <cfRule type="expression" dxfId="2058" priority="128">
      <formula>AND(AX$9&gt;=8/24,AX$9&lt;14/24)</formula>
    </cfRule>
    <cfRule type="expression" dxfId="2057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056" priority="97">
      <formula>AD$9&gt;=20/24</formula>
    </cfRule>
    <cfRule type="expression" dxfId="2055" priority="98">
      <formula>AND(AD$9&gt;=14/24,AD$9&lt;20/24)</formula>
    </cfRule>
    <cfRule type="expression" dxfId="2054" priority="99">
      <formula>AND(AD$9&gt;=8/24,AD$9&lt;14/24)</formula>
    </cfRule>
    <cfRule type="expression" dxfId="2053" priority="100">
      <formula>AD$9&lt;8/24</formula>
    </cfRule>
  </conditionalFormatting>
  <conditionalFormatting sqref="AE61:AF66">
    <cfRule type="expression" dxfId="2052" priority="6">
      <formula>AE$9&gt;=20/24</formula>
    </cfRule>
    <cfRule type="expression" dxfId="2051" priority="7">
      <formula>AND(AE$9&gt;=14/24,AE$9&lt;20/24)</formula>
    </cfRule>
    <cfRule type="expression" dxfId="2050" priority="8">
      <formula>AND(AE$9&gt;=8/24,AE$9&lt;14/24)</formula>
    </cfRule>
    <cfRule type="expression" dxfId="2049" priority="9">
      <formula>AE$9&lt;8/24</formula>
    </cfRule>
  </conditionalFormatting>
  <conditionalFormatting sqref="AG50">
    <cfRule type="expression" dxfId="2048" priority="84">
      <formula>AG50&gt;$AG50</formula>
    </cfRule>
  </conditionalFormatting>
  <conditionalFormatting sqref="AG89">
    <cfRule type="expression" dxfId="2047" priority="85">
      <formula>AG$9&gt;=20/24</formula>
    </cfRule>
    <cfRule type="expression" dxfId="2046" priority="86">
      <formula>AND(AG$9&gt;=14/24,AG$9&lt;20/24)</formula>
    </cfRule>
    <cfRule type="expression" dxfId="2045" priority="87">
      <formula>AND(AG$9&gt;=8/24,AG$9&lt;14/24)</formula>
    </cfRule>
    <cfRule type="expression" dxfId="2044" priority="88">
      <formula>AG$9&lt;8/24</formula>
    </cfRule>
  </conditionalFormatting>
  <conditionalFormatting sqref="AG248">
    <cfRule type="expression" dxfId="2043" priority="118">
      <formula>B$9&gt;=20/24</formula>
    </cfRule>
    <cfRule type="expression" dxfId="2042" priority="119">
      <formula>AND(B$9&gt;=14/24,B$9&lt;20/24)</formula>
    </cfRule>
    <cfRule type="expression" dxfId="2041" priority="120">
      <formula>AND(B$9&gt;=8/24,B$9&lt;14/24)</formula>
    </cfRule>
    <cfRule type="expression" dxfId="2040" priority="121">
      <formula>B$9&lt;8/24</formula>
    </cfRule>
  </conditionalFormatting>
  <conditionalFormatting sqref="AH248:AX248">
    <cfRule type="expression" dxfId="2039" priority="122">
      <formula>AG$9&gt;=20/24</formula>
    </cfRule>
    <cfRule type="expression" dxfId="2038" priority="123">
      <formula>AND(AG$9&gt;=14/24,AG$9&lt;20/24)</formula>
    </cfRule>
    <cfRule type="expression" dxfId="2037" priority="124">
      <formula>AND(AG$9&gt;=8/24,AG$9&lt;14/24)</formula>
    </cfRule>
    <cfRule type="expression" dxfId="2036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035" priority="131">
      <formula>AJ$9&gt;=20/24</formula>
    </cfRule>
    <cfRule type="expression" dxfId="2034" priority="132">
      <formula>AND(AJ$9&gt;=14/24,AJ$9&lt;20/24)</formula>
    </cfRule>
    <cfRule type="expression" dxfId="2033" priority="133">
      <formula>AND(AJ$9&gt;=8/24,AJ$9&lt;14/24)</formula>
    </cfRule>
    <cfRule type="expression" dxfId="2032" priority="134">
      <formula>AJ$9&lt;8/24</formula>
    </cfRule>
  </conditionalFormatting>
  <conditionalFormatting sqref="AL80:AN80 AL86:AN86">
    <cfRule type="expression" dxfId="2031" priority="72">
      <formula>AL$9&gt;=20/24</formula>
    </cfRule>
    <cfRule type="expression" dxfId="2030" priority="73">
      <formula>AND(AL$9&gt;=14/24,AL$9&lt;20/24)</formula>
    </cfRule>
    <cfRule type="expression" dxfId="2029" priority="74">
      <formula>AND(AL$9&gt;=8/24,AL$9&lt;14/24)</formula>
    </cfRule>
    <cfRule type="expression" dxfId="2028" priority="75">
      <formula>AL$9&lt;8/24</formula>
    </cfRule>
  </conditionalFormatting>
  <conditionalFormatting sqref="AN81:AN84">
    <cfRule type="expression" dxfId="2027" priority="68">
      <formula>AN$9&gt;=20/24</formula>
    </cfRule>
    <cfRule type="expression" dxfId="2026" priority="69">
      <formula>AND(AN$9&gt;=14/24,AN$9&lt;20/24)</formula>
    </cfRule>
    <cfRule type="expression" dxfId="2025" priority="70">
      <formula>AND(AN$9&gt;=8/24,AN$9&lt;14/24)</formula>
    </cfRule>
    <cfRule type="expression" dxfId="2024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C8FA3-D65A-4DB4-864C-567D87691F69}">
  <sheetPr codeName="Sheet40"/>
  <dimension ref="A1:CJ281"/>
  <sheetViews>
    <sheetView zoomScaleNormal="100" workbookViewId="0">
      <pane xSplit="1" ySplit="10" topLeftCell="E22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N29" sqref="N2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2" width="6" style="1" bestFit="1" customWidth="1"/>
    <col min="13" max="13" width="7" style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"2080/"&amp;"05/"&amp;INT(MID(CELL("filename",D6),FIND("]",CELL("filename",D6))+1,200))</f>
        <v>2080/05/16</v>
      </c>
      <c r="C4" s="201"/>
      <c r="D4" s="201"/>
      <c r="E4" s="202" t="str">
        <f ca="1">"2080/"&amp;"05/"&amp;INT(MID(CELL("filename",G6),FIND("]",CELL("filename",G6))+1,200))</f>
        <v>2080/05/16</v>
      </c>
      <c r="F4" s="202"/>
      <c r="G4" s="202"/>
      <c r="H4" s="202" t="s">
        <v>310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2.7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2111MW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2048.44</v>
      </c>
      <c r="C7" s="35">
        <f t="shared" si="1"/>
        <v>2032.4399999999998</v>
      </c>
      <c r="D7" s="35">
        <f t="shared" si="1"/>
        <v>2028.54</v>
      </c>
      <c r="E7" s="35">
        <f t="shared" si="1"/>
        <v>2010.64</v>
      </c>
      <c r="F7" s="35">
        <f t="shared" si="1"/>
        <v>3.54</v>
      </c>
      <c r="G7" s="35">
        <f t="shared" si="1"/>
        <v>3.54</v>
      </c>
      <c r="H7" s="35">
        <f t="shared" si="1"/>
        <v>1902.94</v>
      </c>
      <c r="I7" s="35">
        <f t="shared" si="1"/>
        <v>1919.9399999999998</v>
      </c>
      <c r="J7" s="35">
        <f t="shared" si="1"/>
        <v>1924.0400000000002</v>
      </c>
      <c r="K7" s="35">
        <f t="shared" si="1"/>
        <v>2002.54</v>
      </c>
      <c r="L7" s="35">
        <f t="shared" si="1"/>
        <v>2064.14</v>
      </c>
      <c r="M7" s="35">
        <f t="shared" si="1"/>
        <v>2111.34</v>
      </c>
      <c r="N7" s="35">
        <f>N91</f>
        <v>2103.04</v>
      </c>
      <c r="O7" s="35">
        <f t="shared" si="1"/>
        <v>2093.04</v>
      </c>
      <c r="P7" s="35">
        <f t="shared" si="1"/>
        <v>2076.34</v>
      </c>
      <c r="Q7" s="35">
        <f t="shared" si="1"/>
        <v>2046.3400000000001</v>
      </c>
      <c r="R7" s="35">
        <f t="shared" si="1"/>
        <v>2034.2399999999998</v>
      </c>
      <c r="S7" s="35">
        <f t="shared" si="1"/>
        <v>2060.7399999999998</v>
      </c>
      <c r="T7" s="35">
        <f t="shared" si="1"/>
        <v>2066.84</v>
      </c>
      <c r="U7" s="35">
        <f t="shared" si="1"/>
        <v>2087.44</v>
      </c>
      <c r="V7" s="35">
        <f t="shared" si="1"/>
        <v>2144.54</v>
      </c>
      <c r="W7" s="35">
        <f t="shared" si="1"/>
        <v>2145.6</v>
      </c>
      <c r="X7" s="35">
        <f t="shared" si="1"/>
        <v>2173.2000000000003</v>
      </c>
      <c r="Y7" s="35">
        <f t="shared" si="1"/>
        <v>2167.2000000000003</v>
      </c>
      <c r="Z7" s="35">
        <f t="shared" si="1"/>
        <v>2165.7399999999998</v>
      </c>
      <c r="AA7" s="35">
        <f t="shared" si="1"/>
        <v>2168.9</v>
      </c>
      <c r="AB7" s="35">
        <f t="shared" si="1"/>
        <v>2151.2000000000003</v>
      </c>
      <c r="AC7" s="35">
        <f t="shared" si="1"/>
        <v>2154.4</v>
      </c>
      <c r="AD7" s="35">
        <f t="shared" si="1"/>
        <v>2103</v>
      </c>
      <c r="AE7" s="35">
        <f t="shared" si="1"/>
        <v>2005.54</v>
      </c>
      <c r="AF7" s="35">
        <f t="shared" si="1"/>
        <v>2005.94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90.3</v>
      </c>
      <c r="C11" s="45">
        <v>90.3</v>
      </c>
      <c r="D11" s="45">
        <v>90.3</v>
      </c>
      <c r="E11" s="45">
        <v>90.3</v>
      </c>
      <c r="F11" s="45"/>
      <c r="G11" s="45"/>
      <c r="H11" s="45">
        <v>90.3</v>
      </c>
      <c r="I11" s="45">
        <v>90.2</v>
      </c>
      <c r="J11" s="45">
        <v>90.3</v>
      </c>
      <c r="K11" s="45">
        <v>90.3</v>
      </c>
      <c r="L11" s="45">
        <v>90.3</v>
      </c>
      <c r="M11" s="45">
        <v>90.3</v>
      </c>
      <c r="N11" s="45">
        <v>90.3</v>
      </c>
      <c r="O11" s="45">
        <v>90.3</v>
      </c>
      <c r="P11" s="45">
        <v>90.3</v>
      </c>
      <c r="Q11" s="45">
        <v>90.3</v>
      </c>
      <c r="R11" s="45">
        <v>90.3</v>
      </c>
      <c r="S11" s="45">
        <v>90.3</v>
      </c>
      <c r="T11" s="45">
        <v>90.3</v>
      </c>
      <c r="U11" s="45">
        <v>90.3</v>
      </c>
      <c r="V11" s="45">
        <v>90.3</v>
      </c>
      <c r="W11" s="45">
        <v>90.3</v>
      </c>
      <c r="X11" s="45">
        <v>90.3</v>
      </c>
      <c r="Y11" s="45">
        <v>90.3</v>
      </c>
      <c r="Z11" s="45">
        <v>90.3</v>
      </c>
      <c r="AA11" s="45">
        <v>90.3</v>
      </c>
      <c r="AB11" s="45">
        <v>90.3</v>
      </c>
      <c r="AC11" s="45">
        <v>90.3</v>
      </c>
      <c r="AD11" s="45">
        <v>90.3</v>
      </c>
      <c r="AE11" s="45">
        <v>90.3</v>
      </c>
      <c r="AF11" s="45">
        <v>90.3</v>
      </c>
      <c r="AG11" s="46">
        <v>86</v>
      </c>
      <c r="AH11" s="47">
        <f t="shared" ref="AH11:AH76" si="2">MAX(B11:AF11)</f>
        <v>90.3</v>
      </c>
      <c r="AI11" s="48">
        <f t="shared" ref="AI11:AI76" si="3">MIN(B11:AF11)</f>
        <v>90.2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/>
      <c r="G12" s="45"/>
      <c r="H12" s="45">
        <v>0</v>
      </c>
      <c r="I12" s="45">
        <v>0</v>
      </c>
      <c r="J12" s="45">
        <v>0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8</v>
      </c>
      <c r="S12" s="45">
        <v>0</v>
      </c>
      <c r="T12" s="45">
        <v>0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8.5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/>
      <c r="G13" s="45"/>
      <c r="H13" s="45">
        <v>54.5</v>
      </c>
      <c r="I13" s="45">
        <v>54.5</v>
      </c>
      <c r="J13" s="45">
        <v>54.4</v>
      </c>
      <c r="K13" s="45">
        <v>54.5</v>
      </c>
      <c r="L13" s="45">
        <v>54.5</v>
      </c>
      <c r="M13" s="45">
        <v>54.5</v>
      </c>
      <c r="N13" s="45">
        <v>54.5</v>
      </c>
      <c r="O13" s="45">
        <v>54.5</v>
      </c>
      <c r="P13" s="45">
        <v>54.5</v>
      </c>
      <c r="Q13" s="45">
        <v>54.5</v>
      </c>
      <c r="R13" s="45">
        <v>54.5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54.5</v>
      </c>
      <c r="AG13" s="46">
        <v>52.4</v>
      </c>
      <c r="AH13" s="47">
        <f t="shared" si="2"/>
        <v>54.5</v>
      </c>
      <c r="AI13" s="48">
        <f t="shared" si="3"/>
        <v>54.3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/>
      <c r="G14" s="58"/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50.5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46.4</v>
      </c>
      <c r="C15" s="45">
        <v>37.6</v>
      </c>
      <c r="D15" s="45">
        <v>37.6</v>
      </c>
      <c r="E15" s="45">
        <v>37.6</v>
      </c>
      <c r="F15" s="45"/>
      <c r="G15" s="45"/>
      <c r="H15" s="45">
        <v>30.8</v>
      </c>
      <c r="I15" s="45">
        <v>30.8</v>
      </c>
      <c r="J15" s="45">
        <v>42</v>
      </c>
      <c r="K15" s="45">
        <v>46.3</v>
      </c>
      <c r="L15" s="45">
        <v>46.3</v>
      </c>
      <c r="M15" s="45">
        <v>46.3</v>
      </c>
      <c r="N15" s="45">
        <v>46.3</v>
      </c>
      <c r="O15" s="45">
        <v>46.3</v>
      </c>
      <c r="P15" s="45">
        <v>46.3</v>
      </c>
      <c r="Q15" s="45">
        <v>46.3</v>
      </c>
      <c r="R15" s="45">
        <v>46.3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46.3</v>
      </c>
      <c r="AF15" s="45">
        <v>46.3</v>
      </c>
      <c r="AG15" s="49">
        <v>45</v>
      </c>
      <c r="AH15" s="47">
        <f t="shared" si="2"/>
        <v>46.4</v>
      </c>
      <c r="AI15" s="48">
        <f t="shared" si="3"/>
        <v>30.8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/>
      <c r="G16" s="45"/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28.4</v>
      </c>
      <c r="C17" s="45">
        <v>28.4</v>
      </c>
      <c r="D17" s="45">
        <v>28.4</v>
      </c>
      <c r="E17" s="45">
        <v>28.4</v>
      </c>
      <c r="F17" s="45"/>
      <c r="G17" s="45"/>
      <c r="H17" s="45">
        <v>20</v>
      </c>
      <c r="I17" s="45">
        <v>20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33</v>
      </c>
      <c r="P17" s="45">
        <v>33</v>
      </c>
      <c r="Q17" s="45">
        <v>28</v>
      </c>
      <c r="R17" s="45">
        <v>29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29</v>
      </c>
      <c r="Y17" s="45">
        <v>29</v>
      </c>
      <c r="Z17" s="45">
        <v>29</v>
      </c>
      <c r="AA17" s="45">
        <v>29</v>
      </c>
      <c r="AB17" s="45">
        <v>29</v>
      </c>
      <c r="AC17" s="45">
        <v>29</v>
      </c>
      <c r="AD17" s="45">
        <v>29</v>
      </c>
      <c r="AE17" s="45">
        <v>27</v>
      </c>
      <c r="AF17" s="45">
        <v>27</v>
      </c>
      <c r="AG17" s="49">
        <v>42</v>
      </c>
      <c r="AH17" s="47">
        <f t="shared" si="2"/>
        <v>33</v>
      </c>
      <c r="AI17" s="48">
        <f t="shared" si="3"/>
        <v>20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/>
      <c r="G18" s="45"/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/>
      <c r="G19" s="45"/>
      <c r="H19" s="45">
        <v>15</v>
      </c>
      <c r="I19" s="45">
        <v>15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15.4</v>
      </c>
      <c r="C20" s="45">
        <v>15.4</v>
      </c>
      <c r="D20" s="45">
        <v>15.4</v>
      </c>
      <c r="E20" s="45">
        <v>5</v>
      </c>
      <c r="F20" s="45"/>
      <c r="G20" s="45"/>
      <c r="H20" s="45">
        <v>5</v>
      </c>
      <c r="I20" s="45">
        <v>5</v>
      </c>
      <c r="J20" s="45">
        <v>5</v>
      </c>
      <c r="K20" s="45">
        <v>30</v>
      </c>
      <c r="L20" s="45">
        <v>30</v>
      </c>
      <c r="M20" s="45">
        <v>30</v>
      </c>
      <c r="N20" s="45">
        <v>30</v>
      </c>
      <c r="O20" s="45">
        <v>15</v>
      </c>
      <c r="P20" s="45">
        <v>15</v>
      </c>
      <c r="Q20" s="45">
        <v>15</v>
      </c>
      <c r="R20" s="45">
        <v>10</v>
      </c>
      <c r="S20" s="45">
        <v>5.4</v>
      </c>
      <c r="T20" s="45">
        <v>5.4</v>
      </c>
      <c r="U20" s="45">
        <v>5.4</v>
      </c>
      <c r="V20" s="45">
        <v>24</v>
      </c>
      <c r="W20" s="45">
        <v>24</v>
      </c>
      <c r="X20" s="45">
        <v>30</v>
      </c>
      <c r="Y20" s="45">
        <v>24</v>
      </c>
      <c r="Z20" s="45">
        <v>24</v>
      </c>
      <c r="AA20" s="45">
        <v>24</v>
      </c>
      <c r="AB20" s="45">
        <v>30</v>
      </c>
      <c r="AC20" s="45">
        <v>30</v>
      </c>
      <c r="AD20" s="45">
        <v>15</v>
      </c>
      <c r="AE20" s="45">
        <v>15</v>
      </c>
      <c r="AF20" s="45">
        <v>5</v>
      </c>
      <c r="AG20" s="51">
        <v>30</v>
      </c>
      <c r="AH20" s="47">
        <f t="shared" si="2"/>
        <v>30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33.1</v>
      </c>
      <c r="C21" s="45">
        <v>33.1</v>
      </c>
      <c r="D21" s="45">
        <v>33.1</v>
      </c>
      <c r="E21" s="45">
        <v>33.1</v>
      </c>
      <c r="F21" s="45"/>
      <c r="G21" s="45"/>
      <c r="H21" s="45">
        <v>33</v>
      </c>
      <c r="I21" s="45">
        <v>33</v>
      </c>
      <c r="J21" s="45">
        <v>33</v>
      </c>
      <c r="K21" s="45">
        <v>33</v>
      </c>
      <c r="L21" s="45">
        <v>33</v>
      </c>
      <c r="M21" s="45">
        <v>33</v>
      </c>
      <c r="N21" s="45">
        <v>33</v>
      </c>
      <c r="O21" s="45">
        <v>33</v>
      </c>
      <c r="P21" s="45">
        <v>33</v>
      </c>
      <c r="Q21" s="45">
        <v>33</v>
      </c>
      <c r="R21" s="45">
        <v>28</v>
      </c>
      <c r="S21" s="45">
        <v>33</v>
      </c>
      <c r="T21" s="45">
        <v>33</v>
      </c>
      <c r="U21" s="45">
        <v>33</v>
      </c>
      <c r="V21" s="45">
        <v>33</v>
      </c>
      <c r="W21" s="45">
        <v>33</v>
      </c>
      <c r="X21" s="45">
        <v>33</v>
      </c>
      <c r="Y21" s="45">
        <v>33</v>
      </c>
      <c r="Z21" s="45">
        <v>33</v>
      </c>
      <c r="AA21" s="45">
        <v>33</v>
      </c>
      <c r="AB21" s="45">
        <v>33</v>
      </c>
      <c r="AC21" s="45">
        <v>33</v>
      </c>
      <c r="AD21" s="45">
        <v>33</v>
      </c>
      <c r="AE21" s="45">
        <v>33</v>
      </c>
      <c r="AF21" s="45">
        <v>33</v>
      </c>
      <c r="AG21" s="49">
        <v>24.2</v>
      </c>
      <c r="AH21" s="47">
        <f t="shared" si="2"/>
        <v>33.1</v>
      </c>
      <c r="AI21" s="48">
        <f t="shared" si="3"/>
        <v>28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/>
      <c r="G22" s="45"/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10</v>
      </c>
      <c r="C23" s="45">
        <v>10</v>
      </c>
      <c r="D23" s="45">
        <v>10</v>
      </c>
      <c r="E23" s="45">
        <v>5</v>
      </c>
      <c r="F23" s="45"/>
      <c r="G23" s="45"/>
      <c r="H23" s="45">
        <v>0</v>
      </c>
      <c r="I23" s="45">
        <v>0</v>
      </c>
      <c r="J23" s="45">
        <v>5</v>
      </c>
      <c r="K23" s="45">
        <v>16.8</v>
      </c>
      <c r="L23" s="45">
        <v>16.8</v>
      </c>
      <c r="M23" s="45">
        <v>16.8</v>
      </c>
      <c r="N23" s="45">
        <v>28</v>
      </c>
      <c r="O23" s="45">
        <v>28</v>
      </c>
      <c r="P23" s="45">
        <v>28</v>
      </c>
      <c r="Q23" s="45">
        <v>9</v>
      </c>
      <c r="R23" s="45">
        <v>8</v>
      </c>
      <c r="S23" s="45">
        <v>8</v>
      </c>
      <c r="T23" s="45">
        <v>8</v>
      </c>
      <c r="U23" s="45">
        <v>8</v>
      </c>
      <c r="V23" s="45">
        <v>22.7</v>
      </c>
      <c r="W23" s="45">
        <v>22.7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13.5</v>
      </c>
      <c r="AE23" s="45">
        <v>13.5</v>
      </c>
      <c r="AF23" s="45">
        <v>4.5</v>
      </c>
      <c r="AG23" s="51">
        <v>30</v>
      </c>
      <c r="AH23" s="47">
        <f t="shared" si="2"/>
        <v>28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24.1</v>
      </c>
      <c r="C24" s="45">
        <v>24.1</v>
      </c>
      <c r="D24" s="45">
        <v>24.1</v>
      </c>
      <c r="E24" s="45">
        <v>24.1</v>
      </c>
      <c r="F24" s="45"/>
      <c r="G24" s="45"/>
      <c r="H24" s="45">
        <v>26.1</v>
      </c>
      <c r="I24" s="45">
        <v>26.1</v>
      </c>
      <c r="J24" s="45">
        <v>26.1</v>
      </c>
      <c r="K24" s="45">
        <v>26.1</v>
      </c>
      <c r="L24" s="45">
        <v>26.1</v>
      </c>
      <c r="M24" s="45">
        <v>26.1</v>
      </c>
      <c r="N24" s="45">
        <v>26.1</v>
      </c>
      <c r="O24" s="45">
        <v>26.1</v>
      </c>
      <c r="P24" s="45">
        <v>26.1</v>
      </c>
      <c r="Q24" s="45">
        <v>26.1</v>
      </c>
      <c r="R24" s="45">
        <v>24</v>
      </c>
      <c r="S24" s="45">
        <v>24</v>
      </c>
      <c r="T24" s="45">
        <v>24</v>
      </c>
      <c r="U24" s="45">
        <v>24</v>
      </c>
      <c r="V24" s="45">
        <v>24</v>
      </c>
      <c r="W24" s="45">
        <v>24</v>
      </c>
      <c r="X24" s="45">
        <v>26.3</v>
      </c>
      <c r="Y24" s="45">
        <v>26.3</v>
      </c>
      <c r="Z24" s="45">
        <v>26.3</v>
      </c>
      <c r="AA24" s="45">
        <v>26.3</v>
      </c>
      <c r="AB24" s="45">
        <v>26.3</v>
      </c>
      <c r="AC24" s="45">
        <v>26.3</v>
      </c>
      <c r="AD24" s="45">
        <v>26.3</v>
      </c>
      <c r="AE24" s="45">
        <v>26.3</v>
      </c>
      <c r="AF24" s="45">
        <v>26.3</v>
      </c>
      <c r="AG24" s="49">
        <v>25</v>
      </c>
      <c r="AH24" s="47">
        <f t="shared" si="2"/>
        <v>26.3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/>
      <c r="G25" s="45"/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/>
      <c r="G26" s="45"/>
      <c r="H26" s="45">
        <v>15</v>
      </c>
      <c r="I26" s="45">
        <v>15</v>
      </c>
      <c r="J26" s="45">
        <v>15</v>
      </c>
      <c r="K26" s="45">
        <v>15</v>
      </c>
      <c r="L26" s="45">
        <v>15</v>
      </c>
      <c r="M26" s="45">
        <v>15</v>
      </c>
      <c r="N26" s="45">
        <v>15</v>
      </c>
      <c r="O26" s="45">
        <v>15</v>
      </c>
      <c r="P26" s="45">
        <v>15</v>
      </c>
      <c r="Q26" s="45">
        <v>15</v>
      </c>
      <c r="R26" s="45">
        <v>15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15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9</v>
      </c>
      <c r="C27" s="45">
        <v>9</v>
      </c>
      <c r="D27" s="45">
        <v>5</v>
      </c>
      <c r="E27" s="45">
        <v>5</v>
      </c>
      <c r="F27" s="45"/>
      <c r="G27" s="45"/>
      <c r="H27" s="45">
        <v>0</v>
      </c>
      <c r="I27" s="45">
        <v>0</v>
      </c>
      <c r="J27" s="45">
        <v>0</v>
      </c>
      <c r="K27" s="45">
        <f t="shared" ref="K27:P27" si="4">0.6*25</f>
        <v>15</v>
      </c>
      <c r="L27" s="45">
        <f t="shared" si="4"/>
        <v>15</v>
      </c>
      <c r="M27" s="45">
        <f t="shared" si="4"/>
        <v>15</v>
      </c>
      <c r="N27" s="45">
        <f t="shared" si="4"/>
        <v>15</v>
      </c>
      <c r="O27" s="45">
        <f t="shared" si="4"/>
        <v>15</v>
      </c>
      <c r="P27" s="45">
        <f t="shared" si="4"/>
        <v>15</v>
      </c>
      <c r="Q27" s="45">
        <v>9</v>
      </c>
      <c r="R27" s="45">
        <v>3</v>
      </c>
      <c r="S27" s="45">
        <v>3</v>
      </c>
      <c r="T27" s="45">
        <v>3</v>
      </c>
      <c r="U27" s="45">
        <v>3</v>
      </c>
      <c r="V27" s="45">
        <v>20</v>
      </c>
      <c r="W27" s="45">
        <v>20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12.5</v>
      </c>
      <c r="AE27" s="45">
        <v>12.5</v>
      </c>
      <c r="AF27" s="45">
        <v>4.5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</v>
      </c>
      <c r="C28" s="45">
        <v>25</v>
      </c>
      <c r="D28" s="45">
        <v>25</v>
      </c>
      <c r="E28" s="45">
        <v>25</v>
      </c>
      <c r="F28" s="45"/>
      <c r="G28" s="45"/>
      <c r="H28" s="45">
        <v>25</v>
      </c>
      <c r="I28" s="45">
        <v>25</v>
      </c>
      <c r="J28" s="45">
        <v>25</v>
      </c>
      <c r="K28" s="45">
        <v>25</v>
      </c>
      <c r="L28" s="45">
        <v>25</v>
      </c>
      <c r="M28" s="45">
        <v>25</v>
      </c>
      <c r="N28" s="45">
        <v>25</v>
      </c>
      <c r="O28" s="45">
        <v>25</v>
      </c>
      <c r="P28" s="45">
        <v>25</v>
      </c>
      <c r="Q28" s="45">
        <v>25</v>
      </c>
      <c r="R28" s="45">
        <v>25</v>
      </c>
      <c r="S28" s="45">
        <v>25</v>
      </c>
      <c r="T28" s="45">
        <v>25</v>
      </c>
      <c r="U28" s="45">
        <v>25</v>
      </c>
      <c r="V28" s="45">
        <v>25</v>
      </c>
      <c r="W28" s="45">
        <v>25</v>
      </c>
      <c r="X28" s="45">
        <v>25</v>
      </c>
      <c r="Y28" s="45">
        <v>25</v>
      </c>
      <c r="Z28" s="45">
        <v>25</v>
      </c>
      <c r="AA28" s="45">
        <v>25</v>
      </c>
      <c r="AB28" s="45">
        <v>25</v>
      </c>
      <c r="AC28" s="45">
        <v>25</v>
      </c>
      <c r="AD28" s="45">
        <v>25</v>
      </c>
      <c r="AE28" s="45">
        <v>25</v>
      </c>
      <c r="AF28" s="45">
        <v>25</v>
      </c>
      <c r="AG28" s="49">
        <v>23.5</v>
      </c>
      <c r="AH28" s="47">
        <f t="shared" si="2"/>
        <v>25</v>
      </c>
      <c r="AI28" s="48">
        <f t="shared" si="3"/>
        <v>25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/>
      <c r="G29" s="45"/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/>
      <c r="G30" s="45"/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/>
      <c r="G31" s="45"/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/>
      <c r="G32" s="45"/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0</v>
      </c>
      <c r="AF32" s="45">
        <v>0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0</v>
      </c>
      <c r="D33" s="45">
        <v>0</v>
      </c>
      <c r="E33" s="45">
        <v>0</v>
      </c>
      <c r="F33" s="45"/>
      <c r="G33" s="45"/>
      <c r="H33" s="45">
        <v>10</v>
      </c>
      <c r="I33" s="45">
        <v>10</v>
      </c>
      <c r="J33" s="45">
        <v>10</v>
      </c>
      <c r="K33" s="45">
        <v>10</v>
      </c>
      <c r="L33" s="45">
        <v>17</v>
      </c>
      <c r="M33" s="45">
        <v>17</v>
      </c>
      <c r="N33" s="45">
        <v>20</v>
      </c>
      <c r="O33" s="45">
        <v>20</v>
      </c>
      <c r="P33" s="45">
        <v>20</v>
      </c>
      <c r="Q33" s="45">
        <v>20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10</v>
      </c>
      <c r="Y33" s="45">
        <v>10</v>
      </c>
      <c r="Z33" s="45">
        <v>10</v>
      </c>
      <c r="AA33" s="45">
        <v>10</v>
      </c>
      <c r="AB33" s="45">
        <v>10</v>
      </c>
      <c r="AC33" s="45">
        <v>10</v>
      </c>
      <c r="AD33" s="45">
        <v>5</v>
      </c>
      <c r="AE33" s="45">
        <v>4</v>
      </c>
      <c r="AF33" s="45">
        <v>4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/>
      <c r="G34" s="45"/>
      <c r="H34" s="45">
        <v>5</v>
      </c>
      <c r="I34" s="45">
        <v>5</v>
      </c>
      <c r="J34" s="45">
        <v>5</v>
      </c>
      <c r="K34" s="45">
        <v>9</v>
      </c>
      <c r="L34" s="45">
        <v>9</v>
      </c>
      <c r="M34" s="45">
        <v>9</v>
      </c>
      <c r="N34" s="45">
        <v>9</v>
      </c>
      <c r="O34" s="45">
        <v>9</v>
      </c>
      <c r="P34" s="45">
        <v>9</v>
      </c>
      <c r="Q34" s="45">
        <v>9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9</v>
      </c>
      <c r="Y34" s="45">
        <v>9</v>
      </c>
      <c r="Z34" s="45">
        <v>9</v>
      </c>
      <c r="AA34" s="45">
        <v>9</v>
      </c>
      <c r="AB34" s="45">
        <v>9</v>
      </c>
      <c r="AC34" s="45">
        <v>9</v>
      </c>
      <c r="AD34" s="45">
        <v>5</v>
      </c>
      <c r="AE34" s="45">
        <v>0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7.5</v>
      </c>
      <c r="C35" s="45">
        <v>7.5</v>
      </c>
      <c r="D35" s="45">
        <v>7.5</v>
      </c>
      <c r="E35" s="45">
        <v>7.5</v>
      </c>
      <c r="F35" s="45"/>
      <c r="G35" s="45"/>
      <c r="H35" s="45">
        <v>7.5</v>
      </c>
      <c r="I35" s="45">
        <v>7.5</v>
      </c>
      <c r="J35" s="45">
        <v>7.5</v>
      </c>
      <c r="K35" s="45">
        <v>7.5</v>
      </c>
      <c r="L35" s="45">
        <v>7.5</v>
      </c>
      <c r="M35" s="45">
        <v>7.5</v>
      </c>
      <c r="N35" s="45">
        <v>7.5</v>
      </c>
      <c r="O35" s="45">
        <v>7.5</v>
      </c>
      <c r="P35" s="45">
        <v>7.5</v>
      </c>
      <c r="Q35" s="45">
        <v>7.5</v>
      </c>
      <c r="R35" s="45">
        <v>7.5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7.5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/>
      <c r="G36" s="45"/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0</v>
      </c>
      <c r="C37" s="45">
        <v>0</v>
      </c>
      <c r="D37" s="45">
        <v>0</v>
      </c>
      <c r="E37" s="45">
        <v>0</v>
      </c>
      <c r="F37" s="45"/>
      <c r="G37" s="45"/>
      <c r="H37" s="45">
        <v>0</v>
      </c>
      <c r="I37" s="45">
        <v>0</v>
      </c>
      <c r="J37" s="45">
        <v>0</v>
      </c>
      <c r="K37" s="45">
        <v>0</v>
      </c>
      <c r="L37" s="45">
        <v>0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45">
        <v>0</v>
      </c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9">
        <v>13.6</v>
      </c>
      <c r="AH37" s="47">
        <f t="shared" si="2"/>
        <v>0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/>
      <c r="G38" s="45"/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3</v>
      </c>
      <c r="D39" s="45">
        <v>3</v>
      </c>
      <c r="E39" s="45">
        <v>3</v>
      </c>
      <c r="F39" s="45"/>
      <c r="G39" s="45"/>
      <c r="H39" s="45">
        <v>0</v>
      </c>
      <c r="I39" s="45">
        <v>0</v>
      </c>
      <c r="J39" s="45">
        <v>0</v>
      </c>
      <c r="K39" s="45">
        <v>7.2</v>
      </c>
      <c r="L39" s="45">
        <v>7.2</v>
      </c>
      <c r="M39" s="45">
        <v>7.2</v>
      </c>
      <c r="N39" s="45">
        <v>7.2</v>
      </c>
      <c r="O39" s="45">
        <v>7.2</v>
      </c>
      <c r="P39" s="45">
        <v>7.2</v>
      </c>
      <c r="Q39" s="45">
        <v>7.2</v>
      </c>
      <c r="R39" s="45">
        <v>2</v>
      </c>
      <c r="S39" s="45">
        <v>2</v>
      </c>
      <c r="T39" s="45">
        <v>2</v>
      </c>
      <c r="U39" s="45">
        <v>2</v>
      </c>
      <c r="V39" s="45">
        <v>9</v>
      </c>
      <c r="W39" s="45">
        <v>9</v>
      </c>
      <c r="X39" s="45">
        <v>9</v>
      </c>
      <c r="Y39" s="45">
        <v>9</v>
      </c>
      <c r="Z39" s="45">
        <v>9</v>
      </c>
      <c r="AA39" s="45">
        <v>9</v>
      </c>
      <c r="AB39" s="45">
        <v>12</v>
      </c>
      <c r="AC39" s="45">
        <v>12</v>
      </c>
      <c r="AD39" s="45">
        <v>6</v>
      </c>
      <c r="AE39" s="45">
        <v>6</v>
      </c>
      <c r="AF39" s="45">
        <v>2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/>
      <c r="G40" s="45"/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/>
      <c r="G41" s="45"/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/>
      <c r="G42" s="45"/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/>
      <c r="G43" s="45"/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/>
      <c r="G44" s="45"/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/>
      <c r="G45" s="45"/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0</v>
      </c>
      <c r="C46" s="45">
        <v>0</v>
      </c>
      <c r="D46" s="45">
        <v>0</v>
      </c>
      <c r="E46" s="45">
        <v>0</v>
      </c>
      <c r="F46" s="45"/>
      <c r="G46" s="45"/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/>
      <c r="G47" s="45"/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/>
      <c r="G48" s="56"/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126</v>
      </c>
      <c r="C49" s="56">
        <v>126</v>
      </c>
      <c r="D49" s="56">
        <v>126</v>
      </c>
      <c r="E49" s="58">
        <f>93.9+37.8</f>
        <v>131.69999999999999</v>
      </c>
      <c r="F49" s="58"/>
      <c r="G49" s="58"/>
      <c r="H49" s="58">
        <v>128</v>
      </c>
      <c r="I49" s="58">
        <v>128</v>
      </c>
      <c r="J49" s="58">
        <v>127.5</v>
      </c>
      <c r="K49" s="58">
        <f t="shared" ref="K49:R49" si="5">89.2+34.6</f>
        <v>123.80000000000001</v>
      </c>
      <c r="L49" s="58">
        <f t="shared" si="5"/>
        <v>123.80000000000001</v>
      </c>
      <c r="M49" s="58">
        <f t="shared" si="5"/>
        <v>123.80000000000001</v>
      </c>
      <c r="N49" s="58">
        <f t="shared" si="5"/>
        <v>123.80000000000001</v>
      </c>
      <c r="O49" s="58">
        <f t="shared" si="5"/>
        <v>123.80000000000001</v>
      </c>
      <c r="P49" s="58">
        <f t="shared" si="5"/>
        <v>123.80000000000001</v>
      </c>
      <c r="Q49" s="58">
        <f t="shared" si="5"/>
        <v>123.80000000000001</v>
      </c>
      <c r="R49" s="58">
        <f t="shared" si="5"/>
        <v>123.80000000000001</v>
      </c>
      <c r="S49" s="58">
        <v>124</v>
      </c>
      <c r="T49" s="58">
        <v>125</v>
      </c>
      <c r="U49" s="58">
        <v>125</v>
      </c>
      <c r="V49" s="58">
        <v>125</v>
      </c>
      <c r="W49" s="58">
        <v>124.1</v>
      </c>
      <c r="X49" s="58">
        <v>124.1</v>
      </c>
      <c r="Y49" s="58">
        <v>124.1</v>
      </c>
      <c r="Z49" s="58">
        <v>124.1</v>
      </c>
      <c r="AA49" s="58">
        <v>124.1</v>
      </c>
      <c r="AB49" s="58">
        <v>125.4</v>
      </c>
      <c r="AC49" s="56">
        <v>122</v>
      </c>
      <c r="AD49" s="56">
        <v>122</v>
      </c>
      <c r="AE49" s="56">
        <v>128.69999999999999</v>
      </c>
      <c r="AF49" s="56">
        <v>132.19999999999999</v>
      </c>
      <c r="AG49" s="54">
        <v>240</v>
      </c>
      <c r="AH49" s="47">
        <f t="shared" si="2"/>
        <v>132.19999999999999</v>
      </c>
      <c r="AI49" s="48">
        <f t="shared" si="3"/>
        <v>122</v>
      </c>
      <c r="AK49" s="50"/>
    </row>
    <row r="50" spans="1:41" ht="15.75" thickBot="1" x14ac:dyDescent="0.3">
      <c r="A50" s="59" t="s">
        <v>58</v>
      </c>
      <c r="B50" s="60">
        <f t="shared" ref="B50:AF50" si="6">SUM(B11:B48)</f>
        <v>1121.5999999999999</v>
      </c>
      <c r="C50" s="60">
        <f t="shared" si="6"/>
        <v>1104.8</v>
      </c>
      <c r="D50" s="60">
        <f t="shared" si="6"/>
        <v>1100.8</v>
      </c>
      <c r="E50" s="60">
        <f t="shared" si="6"/>
        <v>1085.4000000000001</v>
      </c>
      <c r="F50" s="60">
        <f t="shared" si="6"/>
        <v>0</v>
      </c>
      <c r="G50" s="60">
        <f t="shared" si="6"/>
        <v>0</v>
      </c>
      <c r="H50" s="60">
        <f t="shared" si="6"/>
        <v>998.2</v>
      </c>
      <c r="I50" s="60">
        <f t="shared" si="6"/>
        <v>998.1</v>
      </c>
      <c r="J50" s="60">
        <f t="shared" si="6"/>
        <v>1031.3000000000002</v>
      </c>
      <c r="K50" s="60">
        <f t="shared" si="6"/>
        <v>1111.7</v>
      </c>
      <c r="L50" s="60">
        <f t="shared" si="6"/>
        <v>1118.7</v>
      </c>
      <c r="M50" s="60">
        <f t="shared" si="6"/>
        <v>1118.7</v>
      </c>
      <c r="N50" s="60">
        <f t="shared" si="6"/>
        <v>1132.9000000000001</v>
      </c>
      <c r="O50" s="60">
        <f t="shared" si="6"/>
        <v>1122.9000000000001</v>
      </c>
      <c r="P50" s="60">
        <f t="shared" si="6"/>
        <v>1122.9000000000001</v>
      </c>
      <c r="Q50" s="60">
        <f t="shared" si="6"/>
        <v>1092.9000000000001</v>
      </c>
      <c r="R50" s="60">
        <f t="shared" si="6"/>
        <v>1088.5999999999999</v>
      </c>
      <c r="S50" s="60">
        <f t="shared" si="6"/>
        <v>1108.5</v>
      </c>
      <c r="T50" s="60">
        <f t="shared" si="6"/>
        <v>1108.5</v>
      </c>
      <c r="U50" s="60">
        <f t="shared" si="6"/>
        <v>1121.5</v>
      </c>
      <c r="V50" s="60">
        <f t="shared" si="6"/>
        <v>1178.8</v>
      </c>
      <c r="W50" s="60">
        <f t="shared" si="6"/>
        <v>1178.8</v>
      </c>
      <c r="X50" s="60">
        <f t="shared" si="6"/>
        <v>1206.4000000000001</v>
      </c>
      <c r="Y50" s="60">
        <f t="shared" si="6"/>
        <v>1200.4000000000001</v>
      </c>
      <c r="Z50" s="60">
        <f t="shared" si="6"/>
        <v>1200.4000000000001</v>
      </c>
      <c r="AA50" s="60">
        <f t="shared" si="6"/>
        <v>1200.4000000000001</v>
      </c>
      <c r="AB50" s="60">
        <f t="shared" si="6"/>
        <v>1185.4000000000001</v>
      </c>
      <c r="AC50" s="60">
        <f t="shared" si="6"/>
        <v>1185.4000000000001</v>
      </c>
      <c r="AD50" s="60">
        <f t="shared" si="6"/>
        <v>1129.4000000000001</v>
      </c>
      <c r="AE50" s="60">
        <f t="shared" si="6"/>
        <v>1099.4000000000001</v>
      </c>
      <c r="AF50" s="60">
        <f t="shared" si="6"/>
        <v>1063.9000000000001</v>
      </c>
      <c r="AG50" s="61">
        <f>SUM(AG13:AG48)</f>
        <v>922.14</v>
      </c>
      <c r="AH50" s="47">
        <f t="shared" si="2"/>
        <v>1206.4000000000001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410</v>
      </c>
      <c r="C51" s="45">
        <v>410</v>
      </c>
      <c r="D51" s="45">
        <v>410</v>
      </c>
      <c r="E51" s="45">
        <v>410</v>
      </c>
      <c r="F51" s="45"/>
      <c r="G51" s="45"/>
      <c r="H51" s="45">
        <v>410</v>
      </c>
      <c r="I51" s="45">
        <v>410</v>
      </c>
      <c r="J51" s="45">
        <v>380</v>
      </c>
      <c r="K51" s="45">
        <v>380</v>
      </c>
      <c r="L51" s="45">
        <v>380</v>
      </c>
      <c r="M51" s="45">
        <v>456</v>
      </c>
      <c r="N51" s="45">
        <v>456</v>
      </c>
      <c r="O51" s="45">
        <v>456</v>
      </c>
      <c r="P51" s="175">
        <v>456</v>
      </c>
      <c r="Q51" s="175">
        <v>456</v>
      </c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175">
        <v>456</v>
      </c>
      <c r="Z51" s="175">
        <v>456</v>
      </c>
      <c r="AA51" s="175">
        <v>456</v>
      </c>
      <c r="AB51" s="175">
        <v>456</v>
      </c>
      <c r="AC51" s="175">
        <v>456</v>
      </c>
      <c r="AD51" s="175">
        <v>456</v>
      </c>
      <c r="AE51" s="175">
        <v>456</v>
      </c>
      <c r="AF51" s="175">
        <v>456</v>
      </c>
      <c r="AG51" s="51">
        <v>456</v>
      </c>
      <c r="AH51" s="47">
        <f t="shared" si="2"/>
        <v>456</v>
      </c>
      <c r="AI51" s="48">
        <f t="shared" si="3"/>
        <v>380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/>
      <c r="G52" s="64"/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/>
      <c r="G53" s="66"/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22.3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21</v>
      </c>
      <c r="AG53" s="67">
        <v>22.1</v>
      </c>
      <c r="AH53" s="47">
        <f t="shared" si="2"/>
        <v>22.5</v>
      </c>
      <c r="AI53" s="48">
        <f t="shared" si="3"/>
        <v>21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492.4</v>
      </c>
      <c r="C54" s="60">
        <f t="shared" si="7"/>
        <v>492.4</v>
      </c>
      <c r="D54" s="60">
        <f t="shared" si="7"/>
        <v>492.4</v>
      </c>
      <c r="E54" s="60">
        <f t="shared" si="7"/>
        <v>492.4</v>
      </c>
      <c r="F54" s="60">
        <f t="shared" si="7"/>
        <v>0</v>
      </c>
      <c r="G54" s="60">
        <f t="shared" si="7"/>
        <v>0</v>
      </c>
      <c r="H54" s="60">
        <f t="shared" si="7"/>
        <v>492.5</v>
      </c>
      <c r="I54" s="60">
        <f t="shared" si="7"/>
        <v>492.5</v>
      </c>
      <c r="J54" s="60">
        <f t="shared" si="7"/>
        <v>462.5</v>
      </c>
      <c r="K54" s="60">
        <f t="shared" si="7"/>
        <v>462.5</v>
      </c>
      <c r="L54" s="60">
        <f t="shared" si="7"/>
        <v>462.5</v>
      </c>
      <c r="M54" s="60">
        <f t="shared" si="7"/>
        <v>538.5</v>
      </c>
      <c r="N54" s="60">
        <f t="shared" si="7"/>
        <v>538.5</v>
      </c>
      <c r="O54" s="60">
        <f t="shared" si="7"/>
        <v>538.5</v>
      </c>
      <c r="P54" s="60">
        <f t="shared" si="7"/>
        <v>538.5</v>
      </c>
      <c r="Q54" s="60">
        <f t="shared" si="7"/>
        <v>538.5</v>
      </c>
      <c r="R54" s="60">
        <f t="shared" si="7"/>
        <v>538.5</v>
      </c>
      <c r="S54" s="60">
        <f t="shared" si="7"/>
        <v>538.5</v>
      </c>
      <c r="T54" s="60">
        <f t="shared" si="7"/>
        <v>538.5</v>
      </c>
      <c r="U54" s="60">
        <f t="shared" si="7"/>
        <v>538.5</v>
      </c>
      <c r="V54" s="60">
        <f t="shared" si="7"/>
        <v>538.5</v>
      </c>
      <c r="W54" s="60">
        <f t="shared" si="7"/>
        <v>538.5</v>
      </c>
      <c r="X54" s="60">
        <f t="shared" si="7"/>
        <v>538.5</v>
      </c>
      <c r="Y54" s="60">
        <f t="shared" si="7"/>
        <v>538.5</v>
      </c>
      <c r="Z54" s="60">
        <f t="shared" si="7"/>
        <v>538.29999999999995</v>
      </c>
      <c r="AA54" s="60">
        <f t="shared" si="7"/>
        <v>538.5</v>
      </c>
      <c r="AB54" s="60">
        <f t="shared" si="7"/>
        <v>538.5</v>
      </c>
      <c r="AC54" s="60">
        <f t="shared" si="7"/>
        <v>538.5</v>
      </c>
      <c r="AD54" s="60">
        <f t="shared" si="7"/>
        <v>538.5</v>
      </c>
      <c r="AE54" s="60">
        <f t="shared" si="7"/>
        <v>538.5</v>
      </c>
      <c r="AF54" s="60">
        <f t="shared" si="7"/>
        <v>537</v>
      </c>
      <c r="AG54" s="61">
        <f t="shared" si="7"/>
        <v>538.1</v>
      </c>
      <c r="AH54" s="47">
        <f t="shared" si="2"/>
        <v>538.5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146.6</v>
      </c>
      <c r="C55" s="45">
        <v>146.30000000000001</v>
      </c>
      <c r="D55" s="45">
        <v>146.30000000000001</v>
      </c>
      <c r="E55" s="45">
        <v>146.30000000000001</v>
      </c>
      <c r="F55" s="45"/>
      <c r="G55" s="45"/>
      <c r="H55" s="45">
        <v>145.4</v>
      </c>
      <c r="I55" s="45">
        <v>144</v>
      </c>
      <c r="J55" s="45">
        <v>145.4</v>
      </c>
      <c r="K55" s="45">
        <v>145.5</v>
      </c>
      <c r="L55" s="45">
        <v>145.5</v>
      </c>
      <c r="M55" s="45">
        <v>145.5</v>
      </c>
      <c r="N55" s="45">
        <v>145.5</v>
      </c>
      <c r="O55" s="45">
        <v>145.5</v>
      </c>
      <c r="P55" s="45">
        <v>140.80000000000001</v>
      </c>
      <c r="Q55" s="45">
        <v>140.80000000000001</v>
      </c>
      <c r="R55" s="45">
        <v>133</v>
      </c>
      <c r="S55" s="45">
        <v>133</v>
      </c>
      <c r="T55" s="45">
        <v>136</v>
      </c>
      <c r="U55" s="45">
        <v>136</v>
      </c>
      <c r="V55" s="45">
        <v>136</v>
      </c>
      <c r="W55" s="45">
        <v>136.4</v>
      </c>
      <c r="X55" s="45">
        <v>136.4</v>
      </c>
      <c r="Y55" s="45">
        <v>136.4</v>
      </c>
      <c r="Z55" s="45">
        <v>138</v>
      </c>
      <c r="AA55" s="45">
        <v>136.4</v>
      </c>
      <c r="AB55" s="45">
        <v>136.4</v>
      </c>
      <c r="AC55" s="45">
        <v>139.6</v>
      </c>
      <c r="AD55" s="45">
        <v>123.2</v>
      </c>
      <c r="AE55" s="45">
        <v>138.9</v>
      </c>
      <c r="AF55" s="45">
        <v>138.9</v>
      </c>
      <c r="AG55" s="51">
        <v>144</v>
      </c>
      <c r="AH55" s="47">
        <f t="shared" si="2"/>
        <v>146.6</v>
      </c>
      <c r="AI55" s="48">
        <f t="shared" si="3"/>
        <v>123.2</v>
      </c>
      <c r="AK55" s="50"/>
    </row>
    <row r="56" spans="1:41" x14ac:dyDescent="0.25">
      <c r="A56" s="53" t="s">
        <v>64</v>
      </c>
      <c r="B56" s="64">
        <v>68.8</v>
      </c>
      <c r="C56" s="64">
        <v>69.599999999999994</v>
      </c>
      <c r="D56" s="64">
        <v>69.2</v>
      </c>
      <c r="E56" s="64">
        <v>69.2</v>
      </c>
      <c r="F56" s="64"/>
      <c r="G56" s="64"/>
      <c r="H56" s="64">
        <v>70</v>
      </c>
      <c r="I56" s="64">
        <v>71</v>
      </c>
      <c r="J56" s="64">
        <v>70.5</v>
      </c>
      <c r="K56" s="64">
        <v>70.599999999999994</v>
      </c>
      <c r="L56" s="64">
        <v>71</v>
      </c>
      <c r="M56" s="64">
        <v>71</v>
      </c>
      <c r="N56" s="64">
        <v>71</v>
      </c>
      <c r="O56" s="64">
        <v>71</v>
      </c>
      <c r="P56" s="64">
        <v>66.099999999999994</v>
      </c>
      <c r="Q56" s="64">
        <v>66.099999999999994</v>
      </c>
      <c r="R56" s="64">
        <v>66.099999999999994</v>
      </c>
      <c r="S56" s="64">
        <v>66.099999999999994</v>
      </c>
      <c r="T56" s="64">
        <v>71.099999999999994</v>
      </c>
      <c r="U56" s="64">
        <v>71.099999999999994</v>
      </c>
      <c r="V56" s="45">
        <v>70.400000000000006</v>
      </c>
      <c r="W56" s="45">
        <v>71.2</v>
      </c>
      <c r="X56" s="45">
        <v>71.2</v>
      </c>
      <c r="Y56" s="45">
        <v>71.2</v>
      </c>
      <c r="Z56" s="45">
        <v>69.900000000000006</v>
      </c>
      <c r="AA56" s="45">
        <v>71.2</v>
      </c>
      <c r="AB56" s="45">
        <v>71.2</v>
      </c>
      <c r="AC56" s="45">
        <v>71.2</v>
      </c>
      <c r="AD56" s="45">
        <v>52.2</v>
      </c>
      <c r="AE56" s="45">
        <v>69.5</v>
      </c>
      <c r="AF56" s="45">
        <v>55.5</v>
      </c>
      <c r="AG56" s="54">
        <v>70</v>
      </c>
      <c r="AH56" s="47">
        <f t="shared" si="2"/>
        <v>71.2</v>
      </c>
      <c r="AI56" s="48">
        <f t="shared" si="3"/>
        <v>52.2</v>
      </c>
      <c r="AK56" s="50"/>
    </row>
    <row r="57" spans="1:41" x14ac:dyDescent="0.25">
      <c r="A57" s="53" t="s">
        <v>65</v>
      </c>
      <c r="B57" s="64">
        <v>66.8</v>
      </c>
      <c r="C57" s="64">
        <v>67.099999999999994</v>
      </c>
      <c r="D57" s="64">
        <v>67.599999999999994</v>
      </c>
      <c r="E57" s="64">
        <v>68.2</v>
      </c>
      <c r="F57" s="64"/>
      <c r="G57" s="64"/>
      <c r="H57" s="64">
        <v>66.3</v>
      </c>
      <c r="I57" s="64">
        <v>66.3</v>
      </c>
      <c r="J57" s="64">
        <v>66.3</v>
      </c>
      <c r="K57" s="64">
        <v>65</v>
      </c>
      <c r="L57" s="64">
        <v>66.599999999999994</v>
      </c>
      <c r="M57" s="64">
        <v>66.599999999999994</v>
      </c>
      <c r="N57" s="64">
        <v>66.599999999999994</v>
      </c>
      <c r="O57" s="64">
        <v>66.599999999999994</v>
      </c>
      <c r="P57" s="64">
        <v>64.7</v>
      </c>
      <c r="Q57" s="64">
        <v>64.7</v>
      </c>
      <c r="R57" s="64">
        <v>64.7</v>
      </c>
      <c r="S57" s="64">
        <v>64.7</v>
      </c>
      <c r="T57" s="64">
        <v>66.3</v>
      </c>
      <c r="U57" s="64">
        <v>66.3</v>
      </c>
      <c r="V57" s="45">
        <v>65.5</v>
      </c>
      <c r="W57" s="45">
        <v>65.8</v>
      </c>
      <c r="X57" s="45">
        <v>65.8</v>
      </c>
      <c r="Y57" s="45">
        <v>65.8</v>
      </c>
      <c r="Z57" s="45">
        <v>65.8</v>
      </c>
      <c r="AA57" s="45">
        <v>65.8</v>
      </c>
      <c r="AB57" s="45">
        <v>65.8</v>
      </c>
      <c r="AC57" s="45">
        <v>65.8</v>
      </c>
      <c r="AD57" s="45">
        <v>65.8</v>
      </c>
      <c r="AE57" s="45">
        <v>66.3</v>
      </c>
      <c r="AF57" s="45">
        <v>66.3</v>
      </c>
      <c r="AG57" s="54">
        <v>69</v>
      </c>
      <c r="AH57" s="47">
        <f t="shared" si="2"/>
        <v>68.2</v>
      </c>
      <c r="AI57" s="48">
        <f t="shared" si="3"/>
        <v>64.7</v>
      </c>
      <c r="AK57" s="50"/>
    </row>
    <row r="58" spans="1:41" x14ac:dyDescent="0.25">
      <c r="A58" s="53" t="s">
        <v>66</v>
      </c>
      <c r="B58" s="64">
        <v>60.9</v>
      </c>
      <c r="C58" s="64">
        <v>60.9</v>
      </c>
      <c r="D58" s="64">
        <v>60.9</v>
      </c>
      <c r="E58" s="56">
        <v>58.7</v>
      </c>
      <c r="F58" s="56"/>
      <c r="G58" s="56"/>
      <c r="H58" s="56">
        <v>43.4</v>
      </c>
      <c r="I58" s="56">
        <v>60.9</v>
      </c>
      <c r="J58" s="56">
        <v>60.9</v>
      </c>
      <c r="K58" s="56">
        <v>60</v>
      </c>
      <c r="L58" s="56">
        <v>60.4</v>
      </c>
      <c r="M58" s="56">
        <v>60.4</v>
      </c>
      <c r="N58" s="56">
        <v>60.4</v>
      </c>
      <c r="O58" s="56">
        <v>60.4</v>
      </c>
      <c r="P58" s="64">
        <v>57.2</v>
      </c>
      <c r="Q58" s="64">
        <v>57.2</v>
      </c>
      <c r="R58" s="64">
        <v>57.2</v>
      </c>
      <c r="S58" s="64">
        <v>57.2</v>
      </c>
      <c r="T58" s="64">
        <v>60.9</v>
      </c>
      <c r="U58" s="64">
        <v>60.9</v>
      </c>
      <c r="V58" s="45">
        <v>61.4</v>
      </c>
      <c r="W58" s="45">
        <v>60.96</v>
      </c>
      <c r="X58" s="45">
        <v>60.96</v>
      </c>
      <c r="Y58" s="45">
        <v>60.96</v>
      </c>
      <c r="Z58" s="45">
        <v>61.4</v>
      </c>
      <c r="AA58" s="45">
        <v>60.96</v>
      </c>
      <c r="AB58" s="45">
        <v>60.96</v>
      </c>
      <c r="AC58" s="45">
        <v>60.96</v>
      </c>
      <c r="AD58" s="45">
        <v>60.96</v>
      </c>
      <c r="AE58" s="45">
        <v>0</v>
      </c>
      <c r="AF58" s="45">
        <v>51.4</v>
      </c>
      <c r="AG58" s="54">
        <v>60</v>
      </c>
      <c r="AH58" s="47">
        <f t="shared" si="2"/>
        <v>61.4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56">
        <v>29</v>
      </c>
      <c r="F59" s="56"/>
      <c r="G59" s="56"/>
      <c r="H59" s="56">
        <v>29</v>
      </c>
      <c r="I59" s="56">
        <v>29</v>
      </c>
      <c r="J59" s="56">
        <v>29</v>
      </c>
      <c r="K59" s="56">
        <v>29</v>
      </c>
      <c r="L59" s="56">
        <v>29</v>
      </c>
      <c r="M59" s="56">
        <v>29</v>
      </c>
      <c r="N59" s="56">
        <v>29</v>
      </c>
      <c r="O59" s="56">
        <v>29</v>
      </c>
      <c r="P59" s="64">
        <v>27</v>
      </c>
      <c r="Q59" s="64">
        <v>27</v>
      </c>
      <c r="R59" s="64">
        <v>27</v>
      </c>
      <c r="S59" s="64">
        <v>27</v>
      </c>
      <c r="T59" s="64">
        <v>28</v>
      </c>
      <c r="U59" s="64">
        <v>28</v>
      </c>
      <c r="V59" s="45">
        <v>29</v>
      </c>
      <c r="W59" s="45">
        <v>29</v>
      </c>
      <c r="X59" s="45">
        <v>29</v>
      </c>
      <c r="Y59" s="45">
        <v>29</v>
      </c>
      <c r="Z59" s="45">
        <v>28</v>
      </c>
      <c r="AA59" s="45">
        <v>29</v>
      </c>
      <c r="AB59" s="45">
        <v>29</v>
      </c>
      <c r="AC59" s="45">
        <v>29</v>
      </c>
      <c r="AD59" s="45">
        <v>29</v>
      </c>
      <c r="AE59" s="45">
        <v>29</v>
      </c>
      <c r="AF59" s="45">
        <v>29</v>
      </c>
      <c r="AG59" s="54">
        <v>30</v>
      </c>
      <c r="AH59" s="47">
        <f t="shared" si="2"/>
        <v>30</v>
      </c>
      <c r="AI59" s="48">
        <f t="shared" si="3"/>
        <v>27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/>
      <c r="G60" s="64"/>
      <c r="H60" s="64">
        <v>0</v>
      </c>
      <c r="I60" s="64">
        <v>0</v>
      </c>
      <c r="J60" s="64">
        <v>0</v>
      </c>
      <c r="K60" s="64">
        <v>0.1</v>
      </c>
      <c r="L60" s="64">
        <v>0.8</v>
      </c>
      <c r="M60" s="64">
        <v>0.8</v>
      </c>
      <c r="N60" s="64">
        <v>0.8</v>
      </c>
      <c r="O60" s="64">
        <v>0.8</v>
      </c>
      <c r="P60" s="64">
        <v>0.8</v>
      </c>
      <c r="Q60" s="64">
        <v>0.8</v>
      </c>
      <c r="R60" s="64">
        <v>0.8</v>
      </c>
      <c r="S60" s="64">
        <v>0.8</v>
      </c>
      <c r="T60" s="64">
        <v>0.2</v>
      </c>
      <c r="U60" s="64">
        <v>0.2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0.8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/>
      <c r="G61" s="64"/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/>
      <c r="G62" s="64"/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12.6</v>
      </c>
      <c r="C63" s="64">
        <v>12.6</v>
      </c>
      <c r="D63" s="64">
        <v>12.6</v>
      </c>
      <c r="E63" s="64">
        <v>12.7</v>
      </c>
      <c r="F63" s="64"/>
      <c r="G63" s="64"/>
      <c r="H63" s="64">
        <v>12.2</v>
      </c>
      <c r="I63" s="64">
        <v>12.2</v>
      </c>
      <c r="J63" s="64">
        <v>12.2</v>
      </c>
      <c r="K63" s="64">
        <v>12.2</v>
      </c>
      <c r="L63" s="64">
        <v>12.2</v>
      </c>
      <c r="M63" s="64">
        <v>12.2</v>
      </c>
      <c r="N63" s="64">
        <v>12.2</v>
      </c>
      <c r="O63" s="64">
        <v>12.2</v>
      </c>
      <c r="P63" s="64">
        <v>12.2</v>
      </c>
      <c r="Q63" s="64">
        <v>12.2</v>
      </c>
      <c r="R63" s="64">
        <v>12.2</v>
      </c>
      <c r="S63" s="64">
        <v>12.2</v>
      </c>
      <c r="T63" s="64">
        <v>12.2</v>
      </c>
      <c r="U63" s="64">
        <v>12.2</v>
      </c>
      <c r="V63" s="64">
        <v>12.2</v>
      </c>
      <c r="W63" s="64">
        <v>12.2</v>
      </c>
      <c r="X63" s="64">
        <v>12.2</v>
      </c>
      <c r="Y63" s="64">
        <v>12.2</v>
      </c>
      <c r="Z63" s="64">
        <v>11.2</v>
      </c>
      <c r="AA63" s="64">
        <v>11.2</v>
      </c>
      <c r="AB63" s="64">
        <v>11.2</v>
      </c>
      <c r="AC63" s="64">
        <v>11.2</v>
      </c>
      <c r="AD63" s="64">
        <v>11.2</v>
      </c>
      <c r="AE63" s="64">
        <v>11.2</v>
      </c>
      <c r="AF63" s="64">
        <v>11.2</v>
      </c>
      <c r="AG63" s="54">
        <v>14.1</v>
      </c>
      <c r="AH63" s="47">
        <f t="shared" si="2"/>
        <v>12.7</v>
      </c>
      <c r="AI63" s="48">
        <f t="shared" si="3"/>
        <v>11.2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10</v>
      </c>
      <c r="C64" s="64">
        <v>10</v>
      </c>
      <c r="D64" s="64">
        <v>10</v>
      </c>
      <c r="E64" s="64">
        <v>10</v>
      </c>
      <c r="F64" s="64"/>
      <c r="G64" s="64"/>
      <c r="H64" s="64">
        <v>7.2</v>
      </c>
      <c r="I64" s="64">
        <v>7.2</v>
      </c>
      <c r="J64" s="64">
        <v>7.2</v>
      </c>
      <c r="K64" s="64">
        <v>7.2</v>
      </c>
      <c r="L64" s="64">
        <v>7.4</v>
      </c>
      <c r="M64" s="64">
        <v>7.4</v>
      </c>
      <c r="N64" s="64">
        <v>7.4</v>
      </c>
      <c r="O64" s="64">
        <v>7.4</v>
      </c>
      <c r="P64" s="64">
        <v>7.4</v>
      </c>
      <c r="Q64" s="64">
        <v>7.4</v>
      </c>
      <c r="R64" s="64">
        <v>7.4</v>
      </c>
      <c r="S64" s="64">
        <v>14</v>
      </c>
      <c r="T64" s="64">
        <v>6.4</v>
      </c>
      <c r="U64" s="64">
        <v>14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14</v>
      </c>
      <c r="AE64" s="64">
        <v>14</v>
      </c>
      <c r="AF64" s="64">
        <v>14</v>
      </c>
      <c r="AG64" s="54">
        <v>14</v>
      </c>
      <c r="AH64" s="47">
        <f t="shared" si="2"/>
        <v>14</v>
      </c>
      <c r="AI64" s="48">
        <f t="shared" si="3"/>
        <v>6.4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/>
      <c r="G65" s="64"/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/>
      <c r="G66" s="64"/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434.44</v>
      </c>
      <c r="C68" s="60">
        <f t="shared" si="8"/>
        <v>435.24</v>
      </c>
      <c r="D68" s="60">
        <f t="shared" si="8"/>
        <v>435.34000000000003</v>
      </c>
      <c r="E68" s="60">
        <f t="shared" si="8"/>
        <v>432.84</v>
      </c>
      <c r="F68" s="60">
        <f t="shared" si="8"/>
        <v>3.54</v>
      </c>
      <c r="G68" s="60">
        <f t="shared" si="8"/>
        <v>3.54</v>
      </c>
      <c r="H68" s="60">
        <f t="shared" si="8"/>
        <v>412.23999999999995</v>
      </c>
      <c r="I68" s="60">
        <f t="shared" si="8"/>
        <v>429.34</v>
      </c>
      <c r="J68" s="60">
        <f t="shared" si="8"/>
        <v>430.23999999999995</v>
      </c>
      <c r="K68" s="60">
        <f t="shared" si="8"/>
        <v>428.34000000000003</v>
      </c>
      <c r="L68" s="60">
        <f t="shared" si="8"/>
        <v>431.64</v>
      </c>
      <c r="M68" s="60">
        <f t="shared" si="8"/>
        <v>431.64</v>
      </c>
      <c r="N68" s="60">
        <f t="shared" si="8"/>
        <v>431.64</v>
      </c>
      <c r="O68" s="60">
        <f t="shared" si="8"/>
        <v>431.64</v>
      </c>
      <c r="P68" s="60">
        <f t="shared" si="8"/>
        <v>414.94</v>
      </c>
      <c r="Q68" s="60">
        <f t="shared" si="8"/>
        <v>414.94</v>
      </c>
      <c r="R68" s="60">
        <f t="shared" si="8"/>
        <v>407.14</v>
      </c>
      <c r="S68" s="60">
        <f t="shared" si="8"/>
        <v>413.74</v>
      </c>
      <c r="T68" s="60">
        <f t="shared" si="8"/>
        <v>419.83999999999992</v>
      </c>
      <c r="U68" s="60">
        <f t="shared" si="8"/>
        <v>427.43999999999994</v>
      </c>
      <c r="V68" s="60">
        <f t="shared" si="8"/>
        <v>427.23999999999995</v>
      </c>
      <c r="W68" s="60">
        <f t="shared" si="8"/>
        <v>428.3</v>
      </c>
      <c r="X68" s="60">
        <f t="shared" si="8"/>
        <v>428.3</v>
      </c>
      <c r="Y68" s="60">
        <f t="shared" si="8"/>
        <v>428.3</v>
      </c>
      <c r="Z68" s="60">
        <f t="shared" si="8"/>
        <v>427.03999999999996</v>
      </c>
      <c r="AA68" s="60">
        <f t="shared" si="8"/>
        <v>427.3</v>
      </c>
      <c r="AB68" s="60">
        <f t="shared" si="8"/>
        <v>427.3</v>
      </c>
      <c r="AC68" s="60">
        <f t="shared" si="8"/>
        <v>430.5</v>
      </c>
      <c r="AD68" s="60">
        <f t="shared" si="8"/>
        <v>395.09999999999997</v>
      </c>
      <c r="AE68" s="60">
        <f t="shared" si="8"/>
        <v>367.64</v>
      </c>
      <c r="AF68" s="60">
        <f t="shared" si="8"/>
        <v>405.03999999999996</v>
      </c>
      <c r="AG68" s="61">
        <f t="shared" si="8"/>
        <v>489.91</v>
      </c>
      <c r="AH68" s="47">
        <f t="shared" si="2"/>
        <v>435.34000000000003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>
        <v>30</v>
      </c>
      <c r="I69" s="45">
        <v>34</v>
      </c>
      <c r="J69" s="45">
        <v>50</v>
      </c>
      <c r="K69" s="45">
        <v>40</v>
      </c>
      <c r="L69" s="45">
        <v>29.6</v>
      </c>
      <c r="M69" s="45">
        <v>14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/>
      <c r="AC69" s="45"/>
      <c r="AD69" s="45"/>
      <c r="AE69" s="45"/>
      <c r="AF69" s="45"/>
      <c r="AG69" s="51">
        <v>60</v>
      </c>
      <c r="AH69" s="47">
        <f t="shared" si="2"/>
        <v>50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>
        <v>15.6</v>
      </c>
      <c r="I70" s="64">
        <v>15.5</v>
      </c>
      <c r="J70" s="64">
        <v>20</v>
      </c>
      <c r="K70" s="64">
        <v>20</v>
      </c>
      <c r="L70" s="64">
        <v>15.9</v>
      </c>
      <c r="M70" s="64">
        <v>6.2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0</v>
      </c>
      <c r="AA70" s="64">
        <v>0</v>
      </c>
      <c r="AB70" s="64"/>
      <c r="AC70" s="64"/>
      <c r="AD70" s="64"/>
      <c r="AE70" s="64"/>
      <c r="AF70" s="64"/>
      <c r="AG70" s="54">
        <v>32</v>
      </c>
      <c r="AH70" s="47">
        <f t="shared" si="2"/>
        <v>20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>
        <v>5.7</v>
      </c>
      <c r="I71" s="66">
        <v>6.2</v>
      </c>
      <c r="J71" s="66">
        <v>10</v>
      </c>
      <c r="K71" s="66">
        <v>8</v>
      </c>
      <c r="L71" s="66">
        <v>5.8</v>
      </c>
      <c r="M71" s="66">
        <v>2.2999999999999998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0</v>
      </c>
      <c r="AA71" s="66">
        <v>0</v>
      </c>
      <c r="AB71" s="66"/>
      <c r="AC71" s="66"/>
      <c r="AD71" s="66"/>
      <c r="AE71" s="66"/>
      <c r="AF71" s="66"/>
      <c r="AG71" s="67">
        <v>14</v>
      </c>
      <c r="AH71" s="47">
        <f t="shared" si="2"/>
        <v>10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51.3</v>
      </c>
      <c r="M72" s="60">
        <f t="shared" ref="M72:AF72" si="9">M69+M70+M71</f>
        <v>22.5</v>
      </c>
      <c r="N72" s="60">
        <f t="shared" si="9"/>
        <v>0</v>
      </c>
      <c r="O72" s="60">
        <f t="shared" si="9"/>
        <v>0</v>
      </c>
      <c r="P72" s="60">
        <f t="shared" si="9"/>
        <v>0</v>
      </c>
      <c r="Q72" s="60">
        <f t="shared" si="9"/>
        <v>0</v>
      </c>
      <c r="R72" s="60">
        <f t="shared" si="9"/>
        <v>0</v>
      </c>
      <c r="S72" s="60">
        <f t="shared" si="9"/>
        <v>0</v>
      </c>
      <c r="T72" s="60">
        <f t="shared" si="9"/>
        <v>0</v>
      </c>
      <c r="U72" s="60">
        <f t="shared" si="9"/>
        <v>0</v>
      </c>
      <c r="V72" s="60">
        <f t="shared" si="9"/>
        <v>0</v>
      </c>
      <c r="W72" s="60">
        <f t="shared" si="9"/>
        <v>0</v>
      </c>
      <c r="X72" s="60">
        <f t="shared" si="9"/>
        <v>0</v>
      </c>
      <c r="Y72" s="60">
        <f t="shared" si="9"/>
        <v>0</v>
      </c>
      <c r="Z72" s="60">
        <f t="shared" si="9"/>
        <v>0</v>
      </c>
      <c r="AA72" s="60">
        <f t="shared" si="9"/>
        <v>0</v>
      </c>
      <c r="AB72" s="60">
        <f t="shared" si="9"/>
        <v>0</v>
      </c>
      <c r="AC72" s="60">
        <f t="shared" si="9"/>
        <v>0</v>
      </c>
      <c r="AD72" s="60">
        <f t="shared" si="9"/>
        <v>0</v>
      </c>
      <c r="AE72" s="60">
        <f t="shared" si="9"/>
        <v>0</v>
      </c>
      <c r="AF72" s="60">
        <f t="shared" si="9"/>
        <v>0</v>
      </c>
      <c r="AG72" s="61">
        <f>SUM(AG69:AG71)</f>
        <v>106</v>
      </c>
      <c r="AH72" s="47">
        <f t="shared" si="2"/>
        <v>51.3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-46.6</v>
      </c>
      <c r="C73" s="45">
        <v>-47.8</v>
      </c>
      <c r="D73" s="45">
        <v>-58</v>
      </c>
      <c r="E73" s="45">
        <v>-59.8</v>
      </c>
      <c r="F73" s="45"/>
      <c r="G73" s="45"/>
      <c r="H73" s="45">
        <v>-65.400000000000006</v>
      </c>
      <c r="I73" s="45">
        <v>-67</v>
      </c>
      <c r="J73" s="45">
        <v>-65</v>
      </c>
      <c r="K73" s="45">
        <v>-65</v>
      </c>
      <c r="L73" s="45">
        <v>-63</v>
      </c>
      <c r="M73" s="45">
        <v>-18.3</v>
      </c>
      <c r="N73" s="45">
        <v>-36</v>
      </c>
      <c r="O73" s="45">
        <v>-32</v>
      </c>
      <c r="P73" s="45">
        <v>-27</v>
      </c>
      <c r="Q73" s="45">
        <v>-25</v>
      </c>
      <c r="R73" s="45">
        <v>-25</v>
      </c>
      <c r="S73" s="45">
        <v>-30</v>
      </c>
      <c r="T73" s="45">
        <v>-40.299999999999997</v>
      </c>
      <c r="U73" s="45">
        <v>-62.6</v>
      </c>
      <c r="V73" s="45">
        <v>-58.7</v>
      </c>
      <c r="W73" s="45">
        <v>-62.5</v>
      </c>
      <c r="X73" s="45">
        <v>-56.4</v>
      </c>
      <c r="Y73" s="45">
        <v>-18.2</v>
      </c>
      <c r="Z73" s="45">
        <v>-17.3</v>
      </c>
      <c r="AA73" s="45">
        <v>2.7</v>
      </c>
      <c r="AB73" s="45">
        <v>-38.1</v>
      </c>
      <c r="AC73" s="45">
        <v>-39</v>
      </c>
      <c r="AD73" s="45">
        <v>-41</v>
      </c>
      <c r="AE73" s="45">
        <v>-46.5</v>
      </c>
      <c r="AF73" s="45">
        <v>-56.6</v>
      </c>
      <c r="AG73" s="51"/>
      <c r="AH73" s="47">
        <f t="shared" si="2"/>
        <v>2.7</v>
      </c>
      <c r="AI73" s="48">
        <f t="shared" si="3"/>
        <v>-67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/>
      <c r="F74" s="64"/>
      <c r="G74" s="64"/>
      <c r="H74" s="64">
        <v>0</v>
      </c>
      <c r="I74" s="64"/>
      <c r="J74" s="64"/>
      <c r="K74" s="64"/>
      <c r="L74" s="64"/>
      <c r="M74" s="64">
        <v>0</v>
      </c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-516.70000000000005</v>
      </c>
      <c r="C75" s="64">
        <v>-491.5</v>
      </c>
      <c r="D75" s="64">
        <v>-553.20000000000005</v>
      </c>
      <c r="E75" s="64">
        <v>-515.20000000000005</v>
      </c>
      <c r="F75" s="64"/>
      <c r="G75" s="64"/>
      <c r="H75" s="64">
        <v>-532.79999999999995</v>
      </c>
      <c r="I75" s="64">
        <v>-515</v>
      </c>
      <c r="J75" s="64">
        <v>-495</v>
      </c>
      <c r="K75" s="64">
        <v>-504</v>
      </c>
      <c r="L75" s="64">
        <v>-530</v>
      </c>
      <c r="M75" s="64">
        <v>-546</v>
      </c>
      <c r="N75" s="64">
        <v>-584</v>
      </c>
      <c r="O75" s="64">
        <v>-609</v>
      </c>
      <c r="P75" s="64">
        <v>-558</v>
      </c>
      <c r="Q75" s="64">
        <v>-541</v>
      </c>
      <c r="R75" s="64">
        <v>-567</v>
      </c>
      <c r="S75" s="64">
        <v>-605</v>
      </c>
      <c r="T75" s="64">
        <v>-598</v>
      </c>
      <c r="U75" s="64">
        <v>-592</v>
      </c>
      <c r="V75" s="64">
        <v>-617</v>
      </c>
      <c r="W75" s="64">
        <v>-570.85</v>
      </c>
      <c r="X75" s="64">
        <v>-509</v>
      </c>
      <c r="Y75" s="64">
        <v>-522</v>
      </c>
      <c r="Z75" s="64">
        <v>-568.79999999999995</v>
      </c>
      <c r="AA75" s="64">
        <v>-573.5</v>
      </c>
      <c r="AB75" s="64">
        <v>-537</v>
      </c>
      <c r="AC75" s="64">
        <v>-522.4</v>
      </c>
      <c r="AD75" s="64">
        <v>-538</v>
      </c>
      <c r="AE75" s="64">
        <v>-608.29999999999995</v>
      </c>
      <c r="AF75" s="64">
        <v>-563.79999999999995</v>
      </c>
      <c r="AG75" s="74"/>
      <c r="AH75" s="47">
        <f t="shared" si="2"/>
        <v>-491.5</v>
      </c>
      <c r="AI75" s="48">
        <f t="shared" si="3"/>
        <v>-617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/>
      <c r="AC77" s="45"/>
      <c r="AD77" s="45"/>
      <c r="AE77" s="45"/>
      <c r="AF77" s="45"/>
      <c r="AG77" s="74"/>
      <c r="AH77" s="47">
        <f t="shared" ref="AH77:AH120" si="10">MAX(B77:AF77)</f>
        <v>0</v>
      </c>
      <c r="AI77" s="48">
        <f t="shared" ref="AI77:AI120" si="11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/>
      <c r="AC78" s="76"/>
      <c r="AD78" s="76"/>
      <c r="AE78" s="76"/>
      <c r="AF78" s="76"/>
      <c r="AG78" s="74"/>
      <c r="AH78" s="47">
        <f t="shared" si="10"/>
        <v>0</v>
      </c>
      <c r="AI78" s="48">
        <f t="shared" si="11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/>
      <c r="AC79" s="76"/>
      <c r="AD79" s="76"/>
      <c r="AE79" s="76"/>
      <c r="AF79" s="76"/>
      <c r="AG79" s="74"/>
      <c r="AH79" s="47">
        <f t="shared" si="10"/>
        <v>0</v>
      </c>
      <c r="AI79" s="48">
        <f t="shared" si="11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/>
      <c r="AC80" s="76"/>
      <c r="AD80" s="76"/>
      <c r="AE80" s="76"/>
      <c r="AF80" s="76"/>
      <c r="AG80" s="74"/>
      <c r="AH80" s="47">
        <f t="shared" si="10"/>
        <v>0</v>
      </c>
      <c r="AI80" s="48">
        <f t="shared" si="11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/>
      <c r="AC81" s="76"/>
      <c r="AD81" s="76"/>
      <c r="AE81" s="76"/>
      <c r="AF81" s="76"/>
      <c r="AG81" s="74"/>
      <c r="AH81" s="47">
        <f t="shared" si="10"/>
        <v>0</v>
      </c>
      <c r="AI81" s="48">
        <f t="shared" si="11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/>
      <c r="AC82" s="76"/>
      <c r="AD82" s="76"/>
      <c r="AE82" s="76"/>
      <c r="AF82" s="76"/>
      <c r="AG82" s="84"/>
      <c r="AH82" s="47">
        <f t="shared" si="10"/>
        <v>0</v>
      </c>
      <c r="AI82" s="48">
        <f t="shared" si="11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/>
      <c r="AC83" s="76"/>
      <c r="AD83" s="76"/>
      <c r="AE83" s="76"/>
      <c r="AF83" s="76"/>
      <c r="AG83" s="84"/>
      <c r="AH83" s="47">
        <f t="shared" si="10"/>
        <v>0</v>
      </c>
      <c r="AI83" s="48">
        <f t="shared" si="11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2">SUMIF(B73:B83,"&gt;0")</f>
        <v>0</v>
      </c>
      <c r="C84" s="60">
        <f t="shared" si="12"/>
        <v>0</v>
      </c>
      <c r="D84" s="60">
        <f t="shared" si="12"/>
        <v>0</v>
      </c>
      <c r="E84" s="60">
        <f t="shared" si="12"/>
        <v>0</v>
      </c>
      <c r="F84" s="60">
        <f t="shared" si="12"/>
        <v>0</v>
      </c>
      <c r="G84" s="60">
        <f t="shared" si="12"/>
        <v>0</v>
      </c>
      <c r="H84" s="60">
        <f t="shared" si="12"/>
        <v>0</v>
      </c>
      <c r="I84" s="60">
        <f t="shared" si="12"/>
        <v>0</v>
      </c>
      <c r="J84" s="60">
        <f t="shared" si="12"/>
        <v>0</v>
      </c>
      <c r="K84" s="60">
        <f t="shared" si="12"/>
        <v>0</v>
      </c>
      <c r="L84" s="60">
        <f t="shared" si="12"/>
        <v>0</v>
      </c>
      <c r="M84" s="60">
        <f t="shared" si="12"/>
        <v>0</v>
      </c>
      <c r="N84" s="60">
        <f t="shared" si="12"/>
        <v>0</v>
      </c>
      <c r="O84" s="60">
        <f t="shared" si="12"/>
        <v>0</v>
      </c>
      <c r="P84" s="60">
        <f t="shared" si="12"/>
        <v>0</v>
      </c>
      <c r="Q84" s="60">
        <f t="shared" si="12"/>
        <v>0</v>
      </c>
      <c r="R84" s="60">
        <f t="shared" si="12"/>
        <v>0</v>
      </c>
      <c r="S84" s="60">
        <f t="shared" si="12"/>
        <v>0</v>
      </c>
      <c r="T84" s="60">
        <f t="shared" si="12"/>
        <v>0</v>
      </c>
      <c r="U84" s="60">
        <f t="shared" si="12"/>
        <v>0</v>
      </c>
      <c r="V84" s="60">
        <f t="shared" si="12"/>
        <v>0</v>
      </c>
      <c r="W84" s="60">
        <f t="shared" si="12"/>
        <v>0</v>
      </c>
      <c r="X84" s="60">
        <f t="shared" si="12"/>
        <v>0</v>
      </c>
      <c r="Y84" s="60">
        <f t="shared" si="12"/>
        <v>0</v>
      </c>
      <c r="Z84" s="60">
        <f t="shared" si="12"/>
        <v>0</v>
      </c>
      <c r="AA84" s="60">
        <f t="shared" si="12"/>
        <v>2.7</v>
      </c>
      <c r="AB84" s="60">
        <f t="shared" si="12"/>
        <v>0</v>
      </c>
      <c r="AC84" s="60">
        <f t="shared" si="12"/>
        <v>0</v>
      </c>
      <c r="AD84" s="60">
        <f t="shared" si="12"/>
        <v>0</v>
      </c>
      <c r="AE84" s="60">
        <f t="shared" si="12"/>
        <v>0</v>
      </c>
      <c r="AF84" s="60">
        <f t="shared" si="12"/>
        <v>0</v>
      </c>
      <c r="AG84" s="87">
        <f>SUM(AG73:AG83)</f>
        <v>0</v>
      </c>
      <c r="AH84" s="47">
        <f t="shared" si="10"/>
        <v>2.7</v>
      </c>
      <c r="AI84" s="48">
        <f t="shared" si="11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0"/>
        <v>0</v>
      </c>
      <c r="AI85" s="48">
        <f t="shared" si="11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0"/>
        <v>0</v>
      </c>
      <c r="AI86" s="48">
        <f t="shared" si="11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0"/>
        <v>0</v>
      </c>
      <c r="AI87" s="48">
        <f t="shared" si="11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0"/>
        <v>0</v>
      </c>
      <c r="AI88" s="48">
        <f t="shared" si="11"/>
        <v>0</v>
      </c>
    </row>
    <row r="89" spans="1:40" ht="15.75" thickBot="1" x14ac:dyDescent="0.3">
      <c r="A89" s="73" t="s">
        <v>100</v>
      </c>
      <c r="B89" s="94">
        <f t="shared" ref="B89:AG89" si="13">B50+B54+B72+B68+B84+B88</f>
        <v>2048.44</v>
      </c>
      <c r="C89" s="94">
        <f t="shared" si="13"/>
        <v>2032.4399999999998</v>
      </c>
      <c r="D89" s="94">
        <f t="shared" si="13"/>
        <v>2028.54</v>
      </c>
      <c r="E89" s="94">
        <f t="shared" si="13"/>
        <v>2010.64</v>
      </c>
      <c r="F89" s="94">
        <f t="shared" si="13"/>
        <v>3.54</v>
      </c>
      <c r="G89" s="94">
        <f t="shared" si="13"/>
        <v>3.54</v>
      </c>
      <c r="H89" s="94">
        <f t="shared" si="13"/>
        <v>1902.94</v>
      </c>
      <c r="I89" s="94">
        <f t="shared" si="13"/>
        <v>1919.9399999999998</v>
      </c>
      <c r="J89" s="94">
        <f t="shared" si="13"/>
        <v>1924.0400000000002</v>
      </c>
      <c r="K89" s="94">
        <f t="shared" si="13"/>
        <v>2002.54</v>
      </c>
      <c r="L89" s="94">
        <f t="shared" si="13"/>
        <v>2064.14</v>
      </c>
      <c r="M89" s="94">
        <f t="shared" si="13"/>
        <v>2111.34</v>
      </c>
      <c r="N89" s="94">
        <f t="shared" si="13"/>
        <v>2103.04</v>
      </c>
      <c r="O89" s="94">
        <f t="shared" si="13"/>
        <v>2093.04</v>
      </c>
      <c r="P89" s="94">
        <f t="shared" si="13"/>
        <v>2076.34</v>
      </c>
      <c r="Q89" s="94">
        <f t="shared" si="13"/>
        <v>2046.3400000000001</v>
      </c>
      <c r="R89" s="94">
        <f t="shared" si="13"/>
        <v>2034.2399999999998</v>
      </c>
      <c r="S89" s="94">
        <f t="shared" si="13"/>
        <v>2060.7399999999998</v>
      </c>
      <c r="T89" s="94">
        <f t="shared" si="13"/>
        <v>2066.84</v>
      </c>
      <c r="U89" s="94">
        <f t="shared" si="13"/>
        <v>2087.44</v>
      </c>
      <c r="V89" s="94">
        <f t="shared" si="13"/>
        <v>2144.54</v>
      </c>
      <c r="W89" s="94">
        <f t="shared" si="13"/>
        <v>2145.6</v>
      </c>
      <c r="X89" s="94">
        <f t="shared" si="13"/>
        <v>2173.2000000000003</v>
      </c>
      <c r="Y89" s="94">
        <f t="shared" si="13"/>
        <v>2167.2000000000003</v>
      </c>
      <c r="Z89" s="94">
        <f t="shared" si="13"/>
        <v>2165.7399999999998</v>
      </c>
      <c r="AA89" s="94">
        <f t="shared" si="13"/>
        <v>2168.9</v>
      </c>
      <c r="AB89" s="94">
        <f t="shared" si="13"/>
        <v>2151.2000000000003</v>
      </c>
      <c r="AC89" s="94">
        <f t="shared" si="13"/>
        <v>2154.4</v>
      </c>
      <c r="AD89" s="94">
        <f t="shared" si="13"/>
        <v>2063</v>
      </c>
      <c r="AE89" s="94">
        <f t="shared" si="13"/>
        <v>2005.54</v>
      </c>
      <c r="AF89" s="94">
        <f t="shared" si="13"/>
        <v>2005.94</v>
      </c>
      <c r="AG89" s="61">
        <f t="shared" si="13"/>
        <v>2111.5500000000002</v>
      </c>
      <c r="AH89" s="47">
        <f t="shared" si="10"/>
        <v>2173.2000000000003</v>
      </c>
      <c r="AI89" s="48">
        <f t="shared" si="11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>
        <v>40</v>
      </c>
      <c r="AE90" s="96"/>
      <c r="AF90" s="96"/>
      <c r="AG90" s="87"/>
      <c r="AH90" s="47">
        <f t="shared" si="10"/>
        <v>40</v>
      </c>
      <c r="AI90" s="48">
        <f t="shared" si="11"/>
        <v>40</v>
      </c>
    </row>
    <row r="91" spans="1:40" ht="15.75" thickBot="1" x14ac:dyDescent="0.3">
      <c r="A91" s="73" t="s">
        <v>102</v>
      </c>
      <c r="B91" s="94">
        <f t="shared" ref="B91:AF91" si="14">B89+B90</f>
        <v>2048.44</v>
      </c>
      <c r="C91" s="94">
        <f t="shared" si="14"/>
        <v>2032.4399999999998</v>
      </c>
      <c r="D91" s="94">
        <f t="shared" si="14"/>
        <v>2028.54</v>
      </c>
      <c r="E91" s="94">
        <f t="shared" si="14"/>
        <v>2010.64</v>
      </c>
      <c r="F91" s="94">
        <f t="shared" si="14"/>
        <v>3.54</v>
      </c>
      <c r="G91" s="94">
        <f t="shared" si="14"/>
        <v>3.54</v>
      </c>
      <c r="H91" s="94">
        <f t="shared" si="14"/>
        <v>1902.94</v>
      </c>
      <c r="I91" s="94">
        <f t="shared" si="14"/>
        <v>1919.9399999999998</v>
      </c>
      <c r="J91" s="94">
        <f t="shared" si="14"/>
        <v>1924.0400000000002</v>
      </c>
      <c r="K91" s="94">
        <f t="shared" si="14"/>
        <v>2002.54</v>
      </c>
      <c r="L91" s="94">
        <f t="shared" si="14"/>
        <v>2064.14</v>
      </c>
      <c r="M91" s="94">
        <f t="shared" si="14"/>
        <v>2111.34</v>
      </c>
      <c r="N91" s="94">
        <f t="shared" si="14"/>
        <v>2103.04</v>
      </c>
      <c r="O91" s="94">
        <f t="shared" si="14"/>
        <v>2093.04</v>
      </c>
      <c r="P91" s="94">
        <f t="shared" si="14"/>
        <v>2076.34</v>
      </c>
      <c r="Q91" s="94">
        <f t="shared" si="14"/>
        <v>2046.3400000000001</v>
      </c>
      <c r="R91" s="94">
        <f t="shared" si="14"/>
        <v>2034.2399999999998</v>
      </c>
      <c r="S91" s="94">
        <f t="shared" si="14"/>
        <v>2060.7399999999998</v>
      </c>
      <c r="T91" s="94">
        <f t="shared" si="14"/>
        <v>2066.84</v>
      </c>
      <c r="U91" s="94">
        <f t="shared" si="14"/>
        <v>2087.44</v>
      </c>
      <c r="V91" s="94">
        <f t="shared" si="14"/>
        <v>2144.54</v>
      </c>
      <c r="W91" s="94">
        <f t="shared" si="14"/>
        <v>2145.6</v>
      </c>
      <c r="X91" s="94">
        <f t="shared" si="14"/>
        <v>2173.2000000000003</v>
      </c>
      <c r="Y91" s="94">
        <f t="shared" si="14"/>
        <v>2167.2000000000003</v>
      </c>
      <c r="Z91" s="94">
        <f t="shared" si="14"/>
        <v>2165.7399999999998</v>
      </c>
      <c r="AA91" s="94">
        <f t="shared" si="14"/>
        <v>2168.9</v>
      </c>
      <c r="AB91" s="94">
        <f t="shared" si="14"/>
        <v>2151.2000000000003</v>
      </c>
      <c r="AC91" s="94">
        <f t="shared" si="14"/>
        <v>2154.4</v>
      </c>
      <c r="AD91" s="94">
        <f t="shared" si="14"/>
        <v>2103</v>
      </c>
      <c r="AE91" s="94">
        <f t="shared" si="14"/>
        <v>2005.54</v>
      </c>
      <c r="AF91" s="94">
        <f t="shared" si="14"/>
        <v>2005.94</v>
      </c>
      <c r="AG91" s="87">
        <f>AG88+AG84+AG72+AG68+AG50+AG90</f>
        <v>1573.45</v>
      </c>
      <c r="AH91" s="47">
        <f t="shared" si="10"/>
        <v>2173.2000000000003</v>
      </c>
      <c r="AI91" s="48">
        <f t="shared" si="11"/>
        <v>3.54</v>
      </c>
    </row>
    <row r="92" spans="1:40" ht="15.75" thickBot="1" x14ac:dyDescent="0.3">
      <c r="A92" s="73" t="s">
        <v>103</v>
      </c>
      <c r="B92" s="94">
        <f>B91-(-B99)</f>
        <v>1531.74</v>
      </c>
      <c r="C92" s="94">
        <f t="shared" ref="C92:AF92" si="15">C91-(-C99)</f>
        <v>1540.9399999999998</v>
      </c>
      <c r="D92" s="94">
        <f t="shared" si="15"/>
        <v>1475.34</v>
      </c>
      <c r="E92" s="94">
        <f t="shared" si="15"/>
        <v>1495.44</v>
      </c>
      <c r="F92" s="94">
        <f t="shared" si="15"/>
        <v>3.54</v>
      </c>
      <c r="G92" s="94">
        <f t="shared" si="15"/>
        <v>3.54</v>
      </c>
      <c r="H92" s="94">
        <f t="shared" si="15"/>
        <v>1370.14</v>
      </c>
      <c r="I92" s="94">
        <f t="shared" si="15"/>
        <v>1404.9399999999998</v>
      </c>
      <c r="J92" s="94">
        <f t="shared" si="15"/>
        <v>1429.0400000000002</v>
      </c>
      <c r="K92" s="94">
        <f t="shared" si="15"/>
        <v>1498.54</v>
      </c>
      <c r="L92" s="94">
        <f t="shared" si="15"/>
        <v>1534.1399999999999</v>
      </c>
      <c r="M92" s="94">
        <f t="shared" si="15"/>
        <v>1565.3400000000001</v>
      </c>
      <c r="N92" s="94">
        <f t="shared" si="15"/>
        <v>1519.04</v>
      </c>
      <c r="O92" s="94">
        <f t="shared" si="15"/>
        <v>1484.04</v>
      </c>
      <c r="P92" s="94">
        <f t="shared" si="15"/>
        <v>1518.3400000000001</v>
      </c>
      <c r="Q92" s="94">
        <f t="shared" si="15"/>
        <v>1505.3400000000001</v>
      </c>
      <c r="R92" s="94">
        <f t="shared" si="15"/>
        <v>1467.2399999999998</v>
      </c>
      <c r="S92" s="94">
        <f t="shared" si="15"/>
        <v>1455.7399999999998</v>
      </c>
      <c r="T92" s="94">
        <f t="shared" si="15"/>
        <v>1468.8400000000001</v>
      </c>
      <c r="U92" s="94">
        <f t="shared" si="15"/>
        <v>1495.44</v>
      </c>
      <c r="V92" s="94">
        <f t="shared" si="15"/>
        <v>1527.54</v>
      </c>
      <c r="W92" s="94">
        <f t="shared" si="15"/>
        <v>1574.75</v>
      </c>
      <c r="X92" s="94">
        <f t="shared" si="15"/>
        <v>1664.2000000000003</v>
      </c>
      <c r="Y92" s="94">
        <f t="shared" si="15"/>
        <v>1645.2000000000003</v>
      </c>
      <c r="Z92" s="94">
        <f t="shared" si="15"/>
        <v>1596.9399999999998</v>
      </c>
      <c r="AA92" s="94">
        <f t="shared" si="15"/>
        <v>1595.4</v>
      </c>
      <c r="AB92" s="94">
        <f t="shared" si="15"/>
        <v>1614.2000000000003</v>
      </c>
      <c r="AC92" s="94">
        <f t="shared" si="15"/>
        <v>1632</v>
      </c>
      <c r="AD92" s="94">
        <f t="shared" si="15"/>
        <v>1565</v>
      </c>
      <c r="AE92" s="94">
        <f t="shared" si="15"/>
        <v>1397.24</v>
      </c>
      <c r="AF92" s="94">
        <f t="shared" si="15"/>
        <v>1442.14</v>
      </c>
      <c r="AG92" s="87"/>
      <c r="AH92" s="47">
        <f t="shared" si="10"/>
        <v>1664.2000000000003</v>
      </c>
      <c r="AI92" s="48">
        <f t="shared" si="11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0"/>
        <v>0</v>
      </c>
      <c r="AI93" s="48">
        <f t="shared" si="11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0"/>
        <v>0</v>
      </c>
      <c r="AI94" s="48">
        <f t="shared" si="11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0"/>
        <v>0</v>
      </c>
      <c r="AI95" s="48">
        <f t="shared" si="11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0"/>
        <v>0</v>
      </c>
      <c r="AI96" s="48">
        <f t="shared" si="11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0"/>
        <v>0</v>
      </c>
      <c r="AI97" s="48">
        <f t="shared" si="11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0"/>
        <v>0</v>
      </c>
      <c r="AI98" s="48">
        <f t="shared" si="11"/>
        <v>0</v>
      </c>
    </row>
    <row r="99" spans="1:37" ht="15.75" thickBot="1" x14ac:dyDescent="0.3">
      <c r="A99" s="98" t="s">
        <v>107</v>
      </c>
      <c r="B99" s="60">
        <f>B75</f>
        <v>-516.70000000000005</v>
      </c>
      <c r="C99" s="60">
        <f t="shared" ref="C99:AF99" si="16">C75</f>
        <v>-491.5</v>
      </c>
      <c r="D99" s="60">
        <f t="shared" si="16"/>
        <v>-553.20000000000005</v>
      </c>
      <c r="E99" s="60">
        <f t="shared" si="16"/>
        <v>-515.20000000000005</v>
      </c>
      <c r="F99" s="60">
        <f t="shared" si="16"/>
        <v>0</v>
      </c>
      <c r="G99" s="60">
        <f t="shared" si="16"/>
        <v>0</v>
      </c>
      <c r="H99" s="60">
        <f t="shared" si="16"/>
        <v>-532.79999999999995</v>
      </c>
      <c r="I99" s="60">
        <f t="shared" si="16"/>
        <v>-515</v>
      </c>
      <c r="J99" s="60">
        <f t="shared" si="16"/>
        <v>-495</v>
      </c>
      <c r="K99" s="60">
        <f t="shared" si="16"/>
        <v>-504</v>
      </c>
      <c r="L99" s="60">
        <f t="shared" si="16"/>
        <v>-530</v>
      </c>
      <c r="M99" s="60">
        <f t="shared" si="16"/>
        <v>-546</v>
      </c>
      <c r="N99" s="60">
        <f t="shared" si="16"/>
        <v>-584</v>
      </c>
      <c r="O99" s="60">
        <f t="shared" si="16"/>
        <v>-609</v>
      </c>
      <c r="P99" s="60">
        <f t="shared" si="16"/>
        <v>-558</v>
      </c>
      <c r="Q99" s="60">
        <f t="shared" si="16"/>
        <v>-541</v>
      </c>
      <c r="R99" s="60">
        <f t="shared" si="16"/>
        <v>-567</v>
      </c>
      <c r="S99" s="60">
        <f t="shared" si="16"/>
        <v>-605</v>
      </c>
      <c r="T99" s="60">
        <f t="shared" si="16"/>
        <v>-598</v>
      </c>
      <c r="U99" s="60">
        <f t="shared" si="16"/>
        <v>-592</v>
      </c>
      <c r="V99" s="60">
        <f t="shared" si="16"/>
        <v>-617</v>
      </c>
      <c r="W99" s="60">
        <f t="shared" si="16"/>
        <v>-570.85</v>
      </c>
      <c r="X99" s="60">
        <f t="shared" si="16"/>
        <v>-509</v>
      </c>
      <c r="Y99" s="60">
        <f t="shared" si="16"/>
        <v>-522</v>
      </c>
      <c r="Z99" s="60">
        <f t="shared" si="16"/>
        <v>-568.79999999999995</v>
      </c>
      <c r="AA99" s="60">
        <f t="shared" si="16"/>
        <v>-573.5</v>
      </c>
      <c r="AB99" s="60">
        <f t="shared" si="16"/>
        <v>-537</v>
      </c>
      <c r="AC99" s="60">
        <f t="shared" si="16"/>
        <v>-522.4</v>
      </c>
      <c r="AD99" s="60">
        <f t="shared" si="16"/>
        <v>-538</v>
      </c>
      <c r="AE99" s="60">
        <f t="shared" si="16"/>
        <v>-608.29999999999995</v>
      </c>
      <c r="AF99" s="60">
        <f t="shared" si="16"/>
        <v>-563.79999999999995</v>
      </c>
      <c r="AG99" s="87"/>
      <c r="AH99" s="47">
        <f t="shared" si="10"/>
        <v>0</v>
      </c>
      <c r="AI99" s="48">
        <f t="shared" si="11"/>
        <v>-617</v>
      </c>
      <c r="AK99" s="50"/>
    </row>
    <row r="100" spans="1:37" ht="15.75" thickBot="1" x14ac:dyDescent="0.3">
      <c r="A100" s="73" t="s">
        <v>108</v>
      </c>
      <c r="B100" s="60">
        <f t="shared" ref="B100:AF100" si="17">B84-B99</f>
        <v>516.70000000000005</v>
      </c>
      <c r="C100" s="60">
        <f t="shared" si="17"/>
        <v>491.5</v>
      </c>
      <c r="D100" s="60">
        <f t="shared" si="17"/>
        <v>553.20000000000005</v>
      </c>
      <c r="E100" s="60">
        <f t="shared" si="17"/>
        <v>515.20000000000005</v>
      </c>
      <c r="F100" s="60">
        <f t="shared" si="17"/>
        <v>0</v>
      </c>
      <c r="G100" s="60">
        <f t="shared" si="17"/>
        <v>0</v>
      </c>
      <c r="H100" s="60">
        <f t="shared" si="17"/>
        <v>532.79999999999995</v>
      </c>
      <c r="I100" s="60">
        <f t="shared" si="17"/>
        <v>515</v>
      </c>
      <c r="J100" s="60">
        <f t="shared" si="17"/>
        <v>495</v>
      </c>
      <c r="K100" s="60">
        <f t="shared" si="17"/>
        <v>504</v>
      </c>
      <c r="L100" s="60">
        <f t="shared" si="17"/>
        <v>530</v>
      </c>
      <c r="M100" s="60">
        <f t="shared" si="17"/>
        <v>546</v>
      </c>
      <c r="N100" s="60">
        <f t="shared" si="17"/>
        <v>584</v>
      </c>
      <c r="O100" s="60">
        <f t="shared" si="17"/>
        <v>609</v>
      </c>
      <c r="P100" s="60">
        <f t="shared" si="17"/>
        <v>558</v>
      </c>
      <c r="Q100" s="60">
        <f t="shared" si="17"/>
        <v>541</v>
      </c>
      <c r="R100" s="60">
        <f t="shared" si="17"/>
        <v>567</v>
      </c>
      <c r="S100" s="60">
        <f t="shared" si="17"/>
        <v>605</v>
      </c>
      <c r="T100" s="60">
        <f t="shared" si="17"/>
        <v>598</v>
      </c>
      <c r="U100" s="60">
        <f t="shared" si="17"/>
        <v>592</v>
      </c>
      <c r="V100" s="60">
        <f t="shared" si="17"/>
        <v>617</v>
      </c>
      <c r="W100" s="60">
        <f t="shared" si="17"/>
        <v>570.85</v>
      </c>
      <c r="X100" s="60">
        <f t="shared" si="17"/>
        <v>509</v>
      </c>
      <c r="Y100" s="60">
        <f t="shared" si="17"/>
        <v>522</v>
      </c>
      <c r="Z100" s="60">
        <f t="shared" si="17"/>
        <v>568.79999999999995</v>
      </c>
      <c r="AA100" s="60">
        <f t="shared" si="17"/>
        <v>576.20000000000005</v>
      </c>
      <c r="AB100" s="60">
        <f t="shared" si="17"/>
        <v>537</v>
      </c>
      <c r="AC100" s="60">
        <f t="shared" si="17"/>
        <v>522.4</v>
      </c>
      <c r="AD100" s="60">
        <f t="shared" si="17"/>
        <v>538</v>
      </c>
      <c r="AE100" s="60">
        <f t="shared" si="17"/>
        <v>608.29999999999995</v>
      </c>
      <c r="AF100" s="60">
        <f t="shared" si="17"/>
        <v>563.79999999999995</v>
      </c>
      <c r="AG100" s="87"/>
      <c r="AH100" s="47">
        <f t="shared" si="10"/>
        <v>617</v>
      </c>
      <c r="AI100" s="48">
        <f t="shared" si="11"/>
        <v>0</v>
      </c>
    </row>
    <row r="101" spans="1:37" x14ac:dyDescent="0.25">
      <c r="A101" s="99" t="s">
        <v>109</v>
      </c>
      <c r="B101" s="100">
        <v>50.058999999999997</v>
      </c>
      <c r="C101" s="100">
        <v>50.063000000000002</v>
      </c>
      <c r="D101" s="100">
        <v>50.045999999999999</v>
      </c>
      <c r="E101" s="100">
        <v>50.05</v>
      </c>
      <c r="F101" s="100"/>
      <c r="G101" s="100"/>
      <c r="H101" s="100">
        <v>49.973999999999997</v>
      </c>
      <c r="I101" s="100"/>
      <c r="J101" s="100"/>
      <c r="K101" s="100"/>
      <c r="L101" s="100">
        <v>50.012</v>
      </c>
      <c r="M101" s="100">
        <v>50.08</v>
      </c>
      <c r="N101" s="100">
        <v>49.92</v>
      </c>
      <c r="O101" s="100">
        <v>50.01</v>
      </c>
      <c r="P101" s="100">
        <v>50.01</v>
      </c>
      <c r="Q101" s="100">
        <v>49.991</v>
      </c>
      <c r="R101" s="100">
        <v>50.03</v>
      </c>
      <c r="S101" s="100">
        <v>49.996000000000002</v>
      </c>
      <c r="T101" s="100">
        <v>49.996000000000002</v>
      </c>
      <c r="U101" s="100">
        <v>49.862000000000002</v>
      </c>
      <c r="V101" s="100">
        <v>49.902000000000001</v>
      </c>
      <c r="W101" s="100">
        <v>49.927999999999997</v>
      </c>
      <c r="X101" s="100">
        <v>49.732999999999997</v>
      </c>
      <c r="Y101" s="100">
        <v>49.856000000000002</v>
      </c>
      <c r="Z101" s="100">
        <v>49.905999999999999</v>
      </c>
      <c r="AA101" s="100">
        <v>50.046999999999997</v>
      </c>
      <c r="AB101" s="100">
        <v>50.093000000000004</v>
      </c>
      <c r="AC101" s="100">
        <v>50.055</v>
      </c>
      <c r="AD101" s="100">
        <v>49.991</v>
      </c>
      <c r="AE101" s="100">
        <v>50.075000000000003</v>
      </c>
      <c r="AF101" s="100">
        <v>49.968000000000004</v>
      </c>
      <c r="AG101" s="101"/>
      <c r="AH101" s="47">
        <f t="shared" si="10"/>
        <v>50.093000000000004</v>
      </c>
      <c r="AI101" s="48">
        <f t="shared" si="11"/>
        <v>49.732999999999997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0"/>
        <v>0</v>
      </c>
      <c r="AI102" s="48">
        <f t="shared" si="11"/>
        <v>0</v>
      </c>
    </row>
    <row r="103" spans="1:37" x14ac:dyDescent="0.25">
      <c r="A103" s="102" t="s">
        <v>111</v>
      </c>
      <c r="B103" s="64">
        <v>128.80000000000001</v>
      </c>
      <c r="C103" s="64">
        <v>129.9</v>
      </c>
      <c r="D103" s="64">
        <v>130</v>
      </c>
      <c r="E103" s="64">
        <v>130.30000000000001</v>
      </c>
      <c r="F103" s="64"/>
      <c r="G103" s="64"/>
      <c r="H103" s="64">
        <v>129</v>
      </c>
      <c r="I103" s="64">
        <v>127.8</v>
      </c>
      <c r="J103" s="64">
        <v>127.8</v>
      </c>
      <c r="K103" s="64">
        <v>127.8</v>
      </c>
      <c r="L103" s="64">
        <v>127.8</v>
      </c>
      <c r="M103" s="64">
        <v>125.1</v>
      </c>
      <c r="N103" s="64">
        <v>125.1</v>
      </c>
      <c r="O103" s="64">
        <v>127.7</v>
      </c>
      <c r="P103" s="64">
        <v>127.7</v>
      </c>
      <c r="Q103" s="64">
        <v>125.4</v>
      </c>
      <c r="R103" s="64">
        <v>126.7</v>
      </c>
      <c r="S103" s="64">
        <v>129</v>
      </c>
      <c r="T103" s="64">
        <v>129</v>
      </c>
      <c r="U103" s="64">
        <v>129</v>
      </c>
      <c r="V103" s="64">
        <v>128</v>
      </c>
      <c r="W103" s="64">
        <v>128</v>
      </c>
      <c r="X103" s="64">
        <v>128.1</v>
      </c>
      <c r="Y103" s="64">
        <v>127.3</v>
      </c>
      <c r="Z103" s="64">
        <v>127.3</v>
      </c>
      <c r="AA103" s="64">
        <v>127.7</v>
      </c>
      <c r="AB103" s="64">
        <v>128.9</v>
      </c>
      <c r="AC103" s="64">
        <v>129.19999999999999</v>
      </c>
      <c r="AD103" s="64">
        <v>129.19999999999999</v>
      </c>
      <c r="AE103" s="64">
        <v>127</v>
      </c>
      <c r="AF103" s="64">
        <v>130</v>
      </c>
      <c r="AG103" s="103"/>
      <c r="AH103" s="47">
        <f t="shared" si="10"/>
        <v>130.30000000000001</v>
      </c>
      <c r="AI103" s="48">
        <f t="shared" si="11"/>
        <v>125.1</v>
      </c>
    </row>
    <row r="104" spans="1:37" x14ac:dyDescent="0.25">
      <c r="A104" s="102" t="s">
        <v>112</v>
      </c>
      <c r="B104" s="64">
        <v>128.69999999999999</v>
      </c>
      <c r="C104" s="64">
        <v>129.9</v>
      </c>
      <c r="D104" s="64">
        <v>127.7</v>
      </c>
      <c r="E104" s="64">
        <v>130.4</v>
      </c>
      <c r="F104" s="64"/>
      <c r="G104" s="64"/>
      <c r="H104" s="64">
        <v>127.7</v>
      </c>
      <c r="I104" s="64">
        <v>125.6</v>
      </c>
      <c r="J104" s="64">
        <v>125.6</v>
      </c>
      <c r="K104" s="64">
        <v>125.6</v>
      </c>
      <c r="L104" s="64">
        <v>125.6</v>
      </c>
      <c r="M104" s="64">
        <v>127</v>
      </c>
      <c r="N104" s="64">
        <v>125.1</v>
      </c>
      <c r="O104" s="64">
        <v>128.1</v>
      </c>
      <c r="P104" s="64">
        <v>128.1</v>
      </c>
      <c r="Q104" s="64">
        <v>129.4</v>
      </c>
      <c r="R104" s="64">
        <v>128.80000000000001</v>
      </c>
      <c r="S104" s="64">
        <v>127.5</v>
      </c>
      <c r="T104" s="64">
        <v>127.5</v>
      </c>
      <c r="U104" s="64">
        <v>129.30000000000001</v>
      </c>
      <c r="V104" s="64">
        <v>130</v>
      </c>
      <c r="W104" s="64">
        <v>130</v>
      </c>
      <c r="X104" s="64">
        <v>128.5</v>
      </c>
      <c r="Y104" s="64">
        <v>127.7</v>
      </c>
      <c r="Z104" s="64">
        <v>127.7</v>
      </c>
      <c r="AA104" s="64">
        <v>129</v>
      </c>
      <c r="AB104" s="64">
        <v>129</v>
      </c>
      <c r="AC104" s="64">
        <v>128.80000000000001</v>
      </c>
      <c r="AD104" s="64">
        <v>129.4</v>
      </c>
      <c r="AE104" s="64">
        <v>128.19999999999999</v>
      </c>
      <c r="AF104" s="64">
        <v>128.69999999999999</v>
      </c>
      <c r="AG104" s="103"/>
      <c r="AH104" s="47">
        <f t="shared" si="10"/>
        <v>130.4</v>
      </c>
      <c r="AI104" s="48">
        <f t="shared" si="11"/>
        <v>125.1</v>
      </c>
    </row>
    <row r="105" spans="1:37" x14ac:dyDescent="0.25">
      <c r="A105" s="104" t="s">
        <v>113</v>
      </c>
      <c r="B105" s="64">
        <v>131.80000000000001</v>
      </c>
      <c r="C105" s="64">
        <v>133</v>
      </c>
      <c r="D105" s="64">
        <v>132</v>
      </c>
      <c r="E105" s="64">
        <v>134.19999999999999</v>
      </c>
      <c r="F105" s="64"/>
      <c r="G105" s="64"/>
      <c r="H105" s="64">
        <v>131</v>
      </c>
      <c r="I105" s="64">
        <v>129.30000000000001</v>
      </c>
      <c r="J105" s="64">
        <v>129.30000000000001</v>
      </c>
      <c r="K105" s="64">
        <v>129.30000000000001</v>
      </c>
      <c r="L105" s="64">
        <v>129.30000000000001</v>
      </c>
      <c r="M105" s="64">
        <v>131.19999999999999</v>
      </c>
      <c r="N105" s="64">
        <v>130.30000000000001</v>
      </c>
      <c r="O105" s="64">
        <v>131.6</v>
      </c>
      <c r="P105" s="64">
        <v>131.6</v>
      </c>
      <c r="Q105" s="64">
        <v>131.6</v>
      </c>
      <c r="R105" s="64">
        <v>131.80000000000001</v>
      </c>
      <c r="S105" s="64">
        <v>130.19999999999999</v>
      </c>
      <c r="T105" s="64">
        <v>130.19999999999999</v>
      </c>
      <c r="U105" s="64">
        <v>131.19999999999999</v>
      </c>
      <c r="V105" s="64">
        <v>133</v>
      </c>
      <c r="W105" s="64">
        <v>133</v>
      </c>
      <c r="X105" s="64">
        <v>130.9</v>
      </c>
      <c r="Y105" s="64">
        <v>130.6</v>
      </c>
      <c r="Z105" s="64">
        <v>130.6</v>
      </c>
      <c r="AA105" s="64">
        <v>131.6</v>
      </c>
      <c r="AB105" s="64">
        <v>131.69999999999999</v>
      </c>
      <c r="AC105" s="64">
        <v>131.9</v>
      </c>
      <c r="AD105" s="64">
        <v>132.5</v>
      </c>
      <c r="AE105" s="64">
        <v>131.69999999999999</v>
      </c>
      <c r="AF105" s="64">
        <v>132.19999999999999</v>
      </c>
      <c r="AG105" s="103"/>
      <c r="AH105" s="47">
        <f t="shared" si="10"/>
        <v>134.19999999999999</v>
      </c>
      <c r="AI105" s="48">
        <f t="shared" si="11"/>
        <v>129.30000000000001</v>
      </c>
    </row>
    <row r="106" spans="1:37" x14ac:dyDescent="0.25">
      <c r="A106" s="104" t="s">
        <v>114</v>
      </c>
      <c r="B106" s="105">
        <v>134</v>
      </c>
      <c r="C106" s="105">
        <v>134</v>
      </c>
      <c r="D106" s="105">
        <v>132.80000000000001</v>
      </c>
      <c r="E106" s="105">
        <v>131.9</v>
      </c>
      <c r="F106" s="105"/>
      <c r="G106" s="105"/>
      <c r="H106" s="105">
        <v>131.9</v>
      </c>
      <c r="I106" s="105">
        <v>130.5</v>
      </c>
      <c r="J106" s="105">
        <v>130.5</v>
      </c>
      <c r="K106" s="105">
        <v>127</v>
      </c>
      <c r="L106" s="105">
        <v>132</v>
      </c>
      <c r="M106" s="105">
        <v>130.9</v>
      </c>
      <c r="N106" s="105">
        <v>131.69999999999999</v>
      </c>
      <c r="O106" s="105">
        <v>132.19999999999999</v>
      </c>
      <c r="P106" s="105">
        <v>132.19999999999999</v>
      </c>
      <c r="Q106" s="105">
        <v>133.4</v>
      </c>
      <c r="R106" s="105">
        <v>133.4</v>
      </c>
      <c r="S106" s="105">
        <v>133.80000000000001</v>
      </c>
      <c r="T106" s="105">
        <v>133.80000000000001</v>
      </c>
      <c r="U106" s="105">
        <v>134.30000000000001</v>
      </c>
      <c r="V106" s="105">
        <v>133.69999999999999</v>
      </c>
      <c r="W106" s="105">
        <v>133.69999999999999</v>
      </c>
      <c r="X106" s="105">
        <v>133.1</v>
      </c>
      <c r="Y106" s="105">
        <v>131.69999999999999</v>
      </c>
      <c r="Z106" s="105">
        <v>131.69999999999999</v>
      </c>
      <c r="AA106" s="105">
        <v>132.19999999999999</v>
      </c>
      <c r="AB106" s="105">
        <v>136.4</v>
      </c>
      <c r="AC106" s="105">
        <v>134.6</v>
      </c>
      <c r="AD106" s="105">
        <v>133.4</v>
      </c>
      <c r="AE106" s="105">
        <v>133</v>
      </c>
      <c r="AF106" s="105">
        <v>132.6</v>
      </c>
      <c r="AG106" s="106"/>
      <c r="AH106" s="47">
        <f t="shared" si="10"/>
        <v>136.4</v>
      </c>
      <c r="AI106" s="48">
        <f t="shared" si="11"/>
        <v>127</v>
      </c>
    </row>
    <row r="107" spans="1:37" x14ac:dyDescent="0.25">
      <c r="A107" s="102" t="s">
        <v>115</v>
      </c>
      <c r="B107" s="64">
        <v>136</v>
      </c>
      <c r="C107" s="64">
        <v>132.5</v>
      </c>
      <c r="D107" s="64">
        <v>131</v>
      </c>
      <c r="E107" s="64">
        <v>131.19999999999999</v>
      </c>
      <c r="F107" s="64"/>
      <c r="G107" s="64"/>
      <c r="H107" s="64">
        <v>131.4</v>
      </c>
      <c r="I107" s="64">
        <v>131.69999999999999</v>
      </c>
      <c r="J107" s="64">
        <v>133</v>
      </c>
      <c r="K107" s="64">
        <v>126.3</v>
      </c>
      <c r="L107" s="64">
        <v>127.2</v>
      </c>
      <c r="M107" s="64">
        <v>132</v>
      </c>
      <c r="N107" s="64">
        <v>127.4</v>
      </c>
      <c r="O107" s="64">
        <v>132.30000000000001</v>
      </c>
      <c r="P107" s="64">
        <v>132.30000000000001</v>
      </c>
      <c r="Q107" s="64">
        <v>130.69999999999999</v>
      </c>
      <c r="R107" s="64">
        <v>130.9</v>
      </c>
      <c r="S107" s="64">
        <v>131.19999999999999</v>
      </c>
      <c r="T107" s="64">
        <v>131.19999999999999</v>
      </c>
      <c r="U107" s="64">
        <v>134.19999999999999</v>
      </c>
      <c r="V107" s="64">
        <v>131</v>
      </c>
      <c r="W107" s="64">
        <v>131</v>
      </c>
      <c r="X107" s="64">
        <v>132.6</v>
      </c>
      <c r="Y107" s="64">
        <v>129.9</v>
      </c>
      <c r="Z107" s="64">
        <v>129.9</v>
      </c>
      <c r="AA107" s="64">
        <v>131.1</v>
      </c>
      <c r="AB107" s="64">
        <v>134.30000000000001</v>
      </c>
      <c r="AC107" s="64">
        <v>134.19999999999999</v>
      </c>
      <c r="AD107" s="64">
        <v>132</v>
      </c>
      <c r="AE107" s="64">
        <v>132.9</v>
      </c>
      <c r="AF107" s="64">
        <v>129.4</v>
      </c>
      <c r="AG107" s="103"/>
      <c r="AH107" s="47">
        <f t="shared" si="10"/>
        <v>136</v>
      </c>
      <c r="AI107" s="48">
        <f t="shared" si="11"/>
        <v>126.3</v>
      </c>
    </row>
    <row r="108" spans="1:37" ht="15.75" thickBot="1" x14ac:dyDescent="0.3">
      <c r="A108" s="102" t="s">
        <v>116</v>
      </c>
      <c r="B108" s="91">
        <v>64.7</v>
      </c>
      <c r="C108" s="91">
        <v>65.3</v>
      </c>
      <c r="D108" s="91">
        <v>65.400000000000006</v>
      </c>
      <c r="E108" s="91">
        <v>65.5</v>
      </c>
      <c r="F108" s="91"/>
      <c r="G108" s="91"/>
      <c r="H108" s="91">
        <v>64.599999999999994</v>
      </c>
      <c r="I108" s="91">
        <v>64.099999999999994</v>
      </c>
      <c r="J108" s="91">
        <v>64</v>
      </c>
      <c r="K108" s="91">
        <v>64.3</v>
      </c>
      <c r="L108" s="91">
        <v>64.5</v>
      </c>
      <c r="M108" s="91">
        <v>63</v>
      </c>
      <c r="N108" s="91">
        <v>63.1</v>
      </c>
      <c r="O108" s="91">
        <v>64.2</v>
      </c>
      <c r="P108" s="91">
        <v>64.2</v>
      </c>
      <c r="Q108" s="91">
        <v>62.9</v>
      </c>
      <c r="R108" s="91">
        <v>63.6</v>
      </c>
      <c r="S108" s="91">
        <v>64.900000000000006</v>
      </c>
      <c r="T108" s="91">
        <v>64.900000000000006</v>
      </c>
      <c r="U108" s="91">
        <v>64.8</v>
      </c>
      <c r="V108" s="91">
        <v>64.400000000000006</v>
      </c>
      <c r="W108" s="91">
        <v>64.400000000000006</v>
      </c>
      <c r="X108" s="91">
        <v>64.5</v>
      </c>
      <c r="Y108" s="91">
        <v>64.2</v>
      </c>
      <c r="Z108" s="91">
        <v>64.2</v>
      </c>
      <c r="AA108" s="91">
        <v>64.5</v>
      </c>
      <c r="AB108" s="91">
        <v>65</v>
      </c>
      <c r="AC108" s="91">
        <v>65.2</v>
      </c>
      <c r="AD108" s="91">
        <v>65.400000000000006</v>
      </c>
      <c r="AE108" s="91">
        <v>64.3</v>
      </c>
      <c r="AF108" s="91">
        <v>65.7</v>
      </c>
      <c r="AG108" s="107"/>
      <c r="AH108" s="47">
        <f t="shared" si="10"/>
        <v>65.7</v>
      </c>
      <c r="AI108" s="48">
        <f t="shared" si="11"/>
        <v>62.9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0"/>
        <v>0</v>
      </c>
      <c r="AI109" s="48">
        <f t="shared" si="11"/>
        <v>0</v>
      </c>
    </row>
    <row r="110" spans="1:37" ht="15.75" thickBot="1" x14ac:dyDescent="0.3">
      <c r="A110" s="109" t="s">
        <v>118</v>
      </c>
      <c r="B110" s="110">
        <f t="shared" ref="B110:O110" si="18">SUM(B20,B26,B29:B30,B58,B60:B61,B63,B65,B111:B115,B138,B144,B150,B159,B161,B173,B180,B183:B184,B191,B193,B195,B199:B201,B203:B205,B210,B216:B217,B219:B221,B229,B234)</f>
        <v>44.000000000000014</v>
      </c>
      <c r="C110" s="110">
        <f t="shared" si="18"/>
        <v>50.440000000000005</v>
      </c>
      <c r="D110" s="110">
        <f t="shared" si="18"/>
        <v>45.740000000000009</v>
      </c>
      <c r="E110" s="110">
        <f t="shared" si="18"/>
        <v>27.739999999999991</v>
      </c>
      <c r="F110" s="110">
        <f t="shared" si="18"/>
        <v>0.94</v>
      </c>
      <c r="G110" s="110">
        <f t="shared" si="18"/>
        <v>0.94</v>
      </c>
      <c r="H110" s="110">
        <f t="shared" si="18"/>
        <v>70.040000000000035</v>
      </c>
      <c r="I110" s="110">
        <f t="shared" si="18"/>
        <v>92.039999999999992</v>
      </c>
      <c r="J110" s="110">
        <f t="shared" si="18"/>
        <v>89.039999999999992</v>
      </c>
      <c r="K110" s="110">
        <f t="shared" si="18"/>
        <v>103.23999999999998</v>
      </c>
      <c r="L110" s="110">
        <f t="shared" si="18"/>
        <v>222.54</v>
      </c>
      <c r="M110" s="110">
        <f t="shared" si="18"/>
        <v>212.14000000000001</v>
      </c>
      <c r="N110" s="110">
        <f t="shared" si="18"/>
        <v>192.94</v>
      </c>
      <c r="O110" s="110">
        <f t="shared" si="18"/>
        <v>197.14</v>
      </c>
      <c r="P110" s="110">
        <v>42</v>
      </c>
      <c r="Q110" s="110">
        <f t="shared" ref="Q110:AF110" si="19">SUM(Q20,Q26,Q29:Q30,Q58,Q60:Q61,Q63,Q65,Q111:Q115,Q138,Q144,Q150,Q159,Q161,Q173,Q180,Q183:Q184,Q191,Q193,Q195,Q199:Q201,Q203:Q205,Q210,Q216:Q217,Q219:Q221,Q229,Q234)</f>
        <v>175.40000000000003</v>
      </c>
      <c r="R110" s="110">
        <f t="shared" si="19"/>
        <v>154.49999999999994</v>
      </c>
      <c r="S110" s="110">
        <f t="shared" si="19"/>
        <v>158.69999999999996</v>
      </c>
      <c r="T110" s="110">
        <f t="shared" si="19"/>
        <v>140.29999999999998</v>
      </c>
      <c r="U110" s="110">
        <f t="shared" si="19"/>
        <v>140.29999999999998</v>
      </c>
      <c r="V110" s="110">
        <f t="shared" si="19"/>
        <v>213.75</v>
      </c>
      <c r="W110" s="110">
        <f t="shared" si="19"/>
        <v>238.86</v>
      </c>
      <c r="X110" s="110">
        <f t="shared" si="19"/>
        <v>274.26</v>
      </c>
      <c r="Y110" s="110">
        <f t="shared" si="19"/>
        <v>268.15999999999997</v>
      </c>
      <c r="Z110" s="110">
        <f t="shared" si="19"/>
        <v>249.6</v>
      </c>
      <c r="AA110" s="110">
        <f t="shared" si="19"/>
        <v>222.86000000000004</v>
      </c>
      <c r="AB110" s="110">
        <f t="shared" si="19"/>
        <v>210.16</v>
      </c>
      <c r="AC110" s="110">
        <f t="shared" si="19"/>
        <v>190.05999999999995</v>
      </c>
      <c r="AD110" s="110"/>
      <c r="AE110" s="110">
        <f t="shared" si="19"/>
        <v>104.69999999999999</v>
      </c>
      <c r="AF110" s="110">
        <f t="shared" si="19"/>
        <v>79.399999999999977</v>
      </c>
      <c r="AG110" s="111"/>
      <c r="AH110" s="47">
        <f t="shared" si="10"/>
        <v>274.26</v>
      </c>
      <c r="AI110" s="48">
        <f t="shared" si="11"/>
        <v>0.94</v>
      </c>
    </row>
    <row r="111" spans="1:37" x14ac:dyDescent="0.25">
      <c r="A111" s="99" t="s">
        <v>119</v>
      </c>
      <c r="B111" s="112">
        <v>27.5</v>
      </c>
      <c r="C111" s="112">
        <v>25.1</v>
      </c>
      <c r="D111" s="112">
        <v>26.7</v>
      </c>
      <c r="E111" s="112">
        <v>20</v>
      </c>
      <c r="F111" s="112"/>
      <c r="G111" s="112"/>
      <c r="H111" s="112">
        <v>16.3</v>
      </c>
      <c r="I111" s="112"/>
      <c r="J111" s="112"/>
      <c r="K111" s="112"/>
      <c r="L111" s="112">
        <v>39.6</v>
      </c>
      <c r="M111" s="112">
        <v>52.5</v>
      </c>
      <c r="N111" s="112">
        <v>53.3</v>
      </c>
      <c r="O111" s="112">
        <v>52.6</v>
      </c>
      <c r="P111" s="112">
        <v>52.6</v>
      </c>
      <c r="Q111" s="112">
        <v>53</v>
      </c>
      <c r="R111" s="112">
        <v>50.2</v>
      </c>
      <c r="S111" s="112">
        <v>42.1</v>
      </c>
      <c r="T111" s="112">
        <v>29.7</v>
      </c>
      <c r="U111" s="112">
        <v>29.7</v>
      </c>
      <c r="V111" s="112">
        <v>59.8</v>
      </c>
      <c r="W111" s="112">
        <v>58.2</v>
      </c>
      <c r="X111" s="112">
        <v>74.3</v>
      </c>
      <c r="Y111" s="112">
        <v>76.400000000000006</v>
      </c>
      <c r="Z111" s="112">
        <v>81.3</v>
      </c>
      <c r="AA111" s="112">
        <v>76.2</v>
      </c>
      <c r="AB111" s="112">
        <v>88.6</v>
      </c>
      <c r="AC111" s="112">
        <v>55.3</v>
      </c>
      <c r="AD111" s="112">
        <v>51.4</v>
      </c>
      <c r="AE111" s="112">
        <v>80.5</v>
      </c>
      <c r="AF111" s="112">
        <v>60.7</v>
      </c>
      <c r="AG111" s="113">
        <v>75</v>
      </c>
      <c r="AH111" s="47">
        <f t="shared" si="10"/>
        <v>88.6</v>
      </c>
      <c r="AI111" s="48">
        <f t="shared" si="11"/>
        <v>16.3</v>
      </c>
    </row>
    <row r="112" spans="1:37" x14ac:dyDescent="0.25">
      <c r="A112" s="102" t="s">
        <v>120</v>
      </c>
      <c r="B112" s="114">
        <v>44.9</v>
      </c>
      <c r="C112" s="114">
        <v>40.4</v>
      </c>
      <c r="D112" s="114">
        <v>43.7</v>
      </c>
      <c r="E112" s="114">
        <v>30.8</v>
      </c>
      <c r="F112" s="114"/>
      <c r="G112" s="114"/>
      <c r="H112" s="114">
        <v>23.5</v>
      </c>
      <c r="I112" s="114"/>
      <c r="J112" s="114"/>
      <c r="K112" s="114"/>
      <c r="L112" s="114">
        <v>54</v>
      </c>
      <c r="M112" s="114">
        <v>72.7</v>
      </c>
      <c r="N112" s="114">
        <v>75</v>
      </c>
      <c r="O112" s="114">
        <v>72.7</v>
      </c>
      <c r="P112" s="114">
        <v>72.7</v>
      </c>
      <c r="Q112" s="114">
        <v>71.400000000000006</v>
      </c>
      <c r="R112" s="114">
        <v>65.900000000000006</v>
      </c>
      <c r="S112" s="114">
        <v>52</v>
      </c>
      <c r="T112" s="114">
        <v>45.9</v>
      </c>
      <c r="U112" s="114">
        <v>45.9</v>
      </c>
      <c r="V112" s="114">
        <v>83.85</v>
      </c>
      <c r="W112" s="114">
        <v>81</v>
      </c>
      <c r="X112" s="114">
        <v>103.5</v>
      </c>
      <c r="Y112" s="114">
        <v>106.1</v>
      </c>
      <c r="Z112" s="114">
        <v>116.1</v>
      </c>
      <c r="AA112" s="114">
        <v>107.1</v>
      </c>
      <c r="AB112" s="114">
        <v>126.5</v>
      </c>
      <c r="AC112" s="114">
        <v>78.599999999999994</v>
      </c>
      <c r="AD112" s="114">
        <v>69.400000000000006</v>
      </c>
      <c r="AE112" s="114">
        <v>114</v>
      </c>
      <c r="AF112" s="114">
        <v>82.1</v>
      </c>
      <c r="AG112" s="113">
        <v>240</v>
      </c>
      <c r="AH112" s="47">
        <f t="shared" si="10"/>
        <v>126.5</v>
      </c>
      <c r="AI112" s="48">
        <f t="shared" si="11"/>
        <v>23.5</v>
      </c>
    </row>
    <row r="113" spans="1:37" x14ac:dyDescent="0.25">
      <c r="A113" s="102" t="s">
        <v>121</v>
      </c>
      <c r="B113" s="114">
        <v>-177</v>
      </c>
      <c r="C113" s="114">
        <v>-168</v>
      </c>
      <c r="D113" s="114">
        <v>-177</v>
      </c>
      <c r="E113" s="114">
        <f>-77-85</f>
        <v>-162</v>
      </c>
      <c r="F113" s="114"/>
      <c r="G113" s="114"/>
      <c r="H113" s="114">
        <v>-109</v>
      </c>
      <c r="I113" s="114">
        <v>-71</v>
      </c>
      <c r="J113" s="114">
        <v>-76</v>
      </c>
      <c r="K113" s="114">
        <v>-80</v>
      </c>
      <c r="L113" s="114">
        <v>-54</v>
      </c>
      <c r="M113" s="114">
        <f>-10.1-71.4</f>
        <v>-81.5</v>
      </c>
      <c r="N113" s="114">
        <v>-105</v>
      </c>
      <c r="O113" s="114">
        <v>-83</v>
      </c>
      <c r="P113" s="114">
        <v>-83</v>
      </c>
      <c r="Q113" s="114">
        <v>-100</v>
      </c>
      <c r="R113" s="114">
        <v>-107</v>
      </c>
      <c r="S113" s="114">
        <v>-93</v>
      </c>
      <c r="T113" s="114">
        <v>-96</v>
      </c>
      <c r="U113" s="114">
        <v>-96</v>
      </c>
      <c r="V113" s="114">
        <v>-106</v>
      </c>
      <c r="W113" s="114">
        <v>-82.6</v>
      </c>
      <c r="X113" s="114">
        <v>-89</v>
      </c>
      <c r="Y113" s="114">
        <v>-91</v>
      </c>
      <c r="Z113" s="114">
        <v>-120</v>
      </c>
      <c r="AA113" s="114">
        <v>-127</v>
      </c>
      <c r="AB113" s="114">
        <v>-169</v>
      </c>
      <c r="AC113" s="114">
        <v>-114</v>
      </c>
      <c r="AD113" s="114">
        <v>-120</v>
      </c>
      <c r="AE113" s="114">
        <v>-167</v>
      </c>
      <c r="AF113" s="114">
        <v>-180</v>
      </c>
      <c r="AG113" s="113">
        <v>240</v>
      </c>
      <c r="AH113" s="47">
        <f t="shared" si="10"/>
        <v>-54</v>
      </c>
      <c r="AI113" s="48">
        <f t="shared" si="11"/>
        <v>-180</v>
      </c>
    </row>
    <row r="114" spans="1:37" x14ac:dyDescent="0.25">
      <c r="A114" s="102" t="s">
        <v>122</v>
      </c>
      <c r="B114" s="114">
        <v>-22.3</v>
      </c>
      <c r="C114" s="114">
        <v>-18.899999999999999</v>
      </c>
      <c r="D114" s="114">
        <v>-19.5</v>
      </c>
      <c r="E114" s="114">
        <v>-20.399999999999999</v>
      </c>
      <c r="F114" s="114"/>
      <c r="G114" s="114"/>
      <c r="H114" s="114">
        <v>5.7</v>
      </c>
      <c r="I114" s="114">
        <v>12</v>
      </c>
      <c r="J114" s="114">
        <v>14</v>
      </c>
      <c r="K114" s="114">
        <v>8</v>
      </c>
      <c r="L114" s="114">
        <v>6.6</v>
      </c>
      <c r="M114" s="114">
        <v>-7.9</v>
      </c>
      <c r="N114" s="114">
        <v>-6.7</v>
      </c>
      <c r="O114" s="114">
        <v>-6.5</v>
      </c>
      <c r="P114" s="114">
        <v>-6.5</v>
      </c>
      <c r="Q114" s="114">
        <v>-6.2</v>
      </c>
      <c r="R114" s="114">
        <v>-6.8</v>
      </c>
      <c r="S114" s="114">
        <v>0</v>
      </c>
      <c r="T114" s="114">
        <v>0</v>
      </c>
      <c r="U114" s="114">
        <v>0</v>
      </c>
      <c r="V114" s="114">
        <v>-3.5</v>
      </c>
      <c r="W114" s="114">
        <v>3.1</v>
      </c>
      <c r="X114" s="114">
        <v>0.3</v>
      </c>
      <c r="Y114" s="114">
        <v>-2.5</v>
      </c>
      <c r="Z114" s="114">
        <v>-6.4</v>
      </c>
      <c r="AA114" s="114">
        <v>-11.6</v>
      </c>
      <c r="AB114" s="114">
        <v>-20.100000000000001</v>
      </c>
      <c r="AC114" s="114">
        <v>-14</v>
      </c>
      <c r="AD114" s="114">
        <v>-16</v>
      </c>
      <c r="AE114" s="114">
        <v>-31</v>
      </c>
      <c r="AF114" s="114">
        <v>-33</v>
      </c>
      <c r="AG114" s="113">
        <v>60</v>
      </c>
      <c r="AH114" s="47">
        <f t="shared" si="10"/>
        <v>14</v>
      </c>
      <c r="AI114" s="48">
        <f t="shared" si="11"/>
        <v>-33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/>
      <c r="G115" s="116"/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0"/>
        <v>0</v>
      </c>
      <c r="AI115" s="48">
        <f t="shared" si="11"/>
        <v>0</v>
      </c>
    </row>
    <row r="116" spans="1:37" x14ac:dyDescent="0.25">
      <c r="A116" s="115" t="s">
        <v>124</v>
      </c>
      <c r="B116" s="116">
        <v>-7.5</v>
      </c>
      <c r="C116" s="116">
        <v>19.7</v>
      </c>
      <c r="D116" s="116">
        <v>-20.5</v>
      </c>
      <c r="E116" s="116">
        <v>5.3</v>
      </c>
      <c r="F116" s="116"/>
      <c r="G116" s="116"/>
      <c r="H116" s="116">
        <v>41.1</v>
      </c>
      <c r="I116" s="116">
        <v>69</v>
      </c>
      <c r="J116" s="116">
        <v>78</v>
      </c>
      <c r="K116" s="116">
        <v>80</v>
      </c>
      <c r="L116" s="116">
        <v>27.9</v>
      </c>
      <c r="M116" s="116">
        <v>56.8</v>
      </c>
      <c r="N116" s="116">
        <v>67.400000000000006</v>
      </c>
      <c r="O116" s="116">
        <v>52.7</v>
      </c>
      <c r="P116" s="116">
        <v>52.7</v>
      </c>
      <c r="Q116" s="116">
        <v>74</v>
      </c>
      <c r="R116" s="116">
        <v>60.8</v>
      </c>
      <c r="S116" s="116">
        <v>22.7</v>
      </c>
      <c r="T116" s="116">
        <v>35.799999999999997</v>
      </c>
      <c r="U116" s="116">
        <v>35.799999999999997</v>
      </c>
      <c r="V116" s="116">
        <v>-5.4</v>
      </c>
      <c r="W116" s="116">
        <v>34.4</v>
      </c>
      <c r="X116" s="116">
        <v>63.6</v>
      </c>
      <c r="Y116" s="116">
        <v>53.2</v>
      </c>
      <c r="Z116" s="116">
        <v>32.799999999999997</v>
      </c>
      <c r="AA116" s="116">
        <v>8.6</v>
      </c>
      <c r="AB116" s="116">
        <v>27.2</v>
      </c>
      <c r="AC116" s="116">
        <v>32</v>
      </c>
      <c r="AD116" s="116">
        <v>41.6</v>
      </c>
      <c r="AE116" s="116">
        <v>17.2</v>
      </c>
      <c r="AF116" s="116">
        <v>28.4</v>
      </c>
      <c r="AG116" s="117"/>
      <c r="AH116" s="47">
        <f t="shared" si="10"/>
        <v>80</v>
      </c>
      <c r="AI116" s="48">
        <f t="shared" si="11"/>
        <v>-20.5</v>
      </c>
    </row>
    <row r="117" spans="1:37" x14ac:dyDescent="0.25">
      <c r="A117" s="115" t="s">
        <v>125</v>
      </c>
      <c r="B117" s="116">
        <v>-16.739999999999998</v>
      </c>
      <c r="C117" s="116">
        <v>-4.2</v>
      </c>
      <c r="D117" s="116">
        <v>3.8</v>
      </c>
      <c r="E117" s="116">
        <v>-10.199999999999999</v>
      </c>
      <c r="F117" s="116"/>
      <c r="G117" s="116"/>
      <c r="H117" s="116">
        <v>8.5</v>
      </c>
      <c r="I117" s="116">
        <v>-19.100000000000001</v>
      </c>
      <c r="J117" s="116">
        <v>-21.2</v>
      </c>
      <c r="K117" s="116">
        <v>-22.2</v>
      </c>
      <c r="L117" s="116">
        <v>-6.9</v>
      </c>
      <c r="M117" s="116">
        <v>-16.8</v>
      </c>
      <c r="N117" s="116">
        <v>-12.9</v>
      </c>
      <c r="O117" s="116">
        <v>-24.3</v>
      </c>
      <c r="P117" s="116">
        <v>-24.3</v>
      </c>
      <c r="Q117" s="116">
        <v>-34</v>
      </c>
      <c r="R117" s="116">
        <v>-39.799999999999997</v>
      </c>
      <c r="S117" s="116">
        <v>-26.3</v>
      </c>
      <c r="T117" s="116">
        <v>-20.8</v>
      </c>
      <c r="U117" s="116">
        <v>-20.8</v>
      </c>
      <c r="V117" s="116">
        <v>-22.6</v>
      </c>
      <c r="W117" s="116">
        <v>-19.3</v>
      </c>
      <c r="X117" s="116">
        <v>-46.2</v>
      </c>
      <c r="Y117" s="116">
        <v>-70.2</v>
      </c>
      <c r="Z117" s="116">
        <v>-70.900000000000006</v>
      </c>
      <c r="AA117" s="116">
        <v>-69.5</v>
      </c>
      <c r="AB117" s="116">
        <v>-47.6</v>
      </c>
      <c r="AC117" s="116">
        <v>-12.3</v>
      </c>
      <c r="AD117" s="116">
        <v>-27.4</v>
      </c>
      <c r="AE117" s="116">
        <v>-53.5</v>
      </c>
      <c r="AF117" s="116">
        <v>-39.6</v>
      </c>
      <c r="AG117" s="118"/>
      <c r="AH117" s="47">
        <f t="shared" si="10"/>
        <v>8.5</v>
      </c>
      <c r="AI117" s="48">
        <f t="shared" si="11"/>
        <v>-70.900000000000006</v>
      </c>
    </row>
    <row r="118" spans="1:37" x14ac:dyDescent="0.25">
      <c r="A118" s="119" t="s">
        <v>126</v>
      </c>
      <c r="B118" s="105">
        <v>57.1</v>
      </c>
      <c r="C118" s="105">
        <v>59.3</v>
      </c>
      <c r="D118" s="105">
        <v>60.3</v>
      </c>
      <c r="E118" s="105">
        <v>71</v>
      </c>
      <c r="F118" s="105"/>
      <c r="G118" s="105"/>
      <c r="H118" s="105">
        <v>71.7</v>
      </c>
      <c r="I118" s="105">
        <v>64</v>
      </c>
      <c r="J118" s="105">
        <v>63</v>
      </c>
      <c r="K118" s="105">
        <v>62</v>
      </c>
      <c r="L118" s="105">
        <v>62.7</v>
      </c>
      <c r="M118" s="105">
        <v>62.9</v>
      </c>
      <c r="N118" s="105">
        <v>65.900000000000006</v>
      </c>
      <c r="O118" s="105">
        <v>61.2</v>
      </c>
      <c r="P118" s="105">
        <v>61.2</v>
      </c>
      <c r="Q118" s="105">
        <v>63.8</v>
      </c>
      <c r="R118" s="105">
        <v>67</v>
      </c>
      <c r="S118" s="105">
        <v>62.3</v>
      </c>
      <c r="T118" s="105">
        <v>61.9</v>
      </c>
      <c r="U118" s="105">
        <v>61.9</v>
      </c>
      <c r="V118" s="105">
        <v>60.4</v>
      </c>
      <c r="W118" s="105">
        <v>54.6</v>
      </c>
      <c r="X118" s="105">
        <v>44.7</v>
      </c>
      <c r="Y118" s="105">
        <v>45.4</v>
      </c>
      <c r="Z118" s="105">
        <v>51.3</v>
      </c>
      <c r="AA118" s="105">
        <v>52.6</v>
      </c>
      <c r="AB118" s="105">
        <v>54.8</v>
      </c>
      <c r="AC118" s="105">
        <v>55.2</v>
      </c>
      <c r="AD118" s="105">
        <v>53.2</v>
      </c>
      <c r="AE118" s="105">
        <v>65.3</v>
      </c>
      <c r="AF118" s="105">
        <v>71.599999999999994</v>
      </c>
      <c r="AG118" s="118"/>
      <c r="AH118" s="47">
        <f t="shared" si="10"/>
        <v>71.7</v>
      </c>
      <c r="AI118" s="48">
        <f t="shared" si="11"/>
        <v>44.7</v>
      </c>
    </row>
    <row r="119" spans="1:37" x14ac:dyDescent="0.25">
      <c r="A119" s="120" t="s">
        <v>127</v>
      </c>
      <c r="B119" s="105">
        <v>93</v>
      </c>
      <c r="C119" s="105">
        <v>83.1</v>
      </c>
      <c r="D119" s="105">
        <v>97.1</v>
      </c>
      <c r="E119" s="105">
        <v>82.3</v>
      </c>
      <c r="F119" s="105"/>
      <c r="G119" s="105"/>
      <c r="H119" s="105">
        <v>60.6</v>
      </c>
      <c r="I119" s="105">
        <v>80</v>
      </c>
      <c r="J119" s="105">
        <v>75</v>
      </c>
      <c r="K119" s="105">
        <v>73.400000000000006</v>
      </c>
      <c r="L119" s="105">
        <v>52.4</v>
      </c>
      <c r="M119" s="105">
        <v>58.2</v>
      </c>
      <c r="N119" s="105">
        <v>58.3</v>
      </c>
      <c r="O119" s="105">
        <v>54.8</v>
      </c>
      <c r="P119" s="105">
        <v>54.8</v>
      </c>
      <c r="Q119" s="105">
        <v>59.4</v>
      </c>
      <c r="R119" s="105">
        <v>64.2</v>
      </c>
      <c r="S119" s="105">
        <v>61.6</v>
      </c>
      <c r="T119" s="105">
        <v>65.3</v>
      </c>
      <c r="U119" s="105">
        <v>65.3</v>
      </c>
      <c r="V119" s="105">
        <v>78.900000000000006</v>
      </c>
      <c r="W119" s="105">
        <v>64.7</v>
      </c>
      <c r="X119" s="105">
        <v>51.3</v>
      </c>
      <c r="Y119" s="105">
        <v>58.8</v>
      </c>
      <c r="Z119" s="105">
        <v>69.3</v>
      </c>
      <c r="AA119" s="105">
        <v>79.8</v>
      </c>
      <c r="AB119" s="105">
        <v>83.6</v>
      </c>
      <c r="AC119" s="105">
        <v>79</v>
      </c>
      <c r="AD119" s="105">
        <v>78</v>
      </c>
      <c r="AE119" s="105">
        <v>84.7</v>
      </c>
      <c r="AF119" s="105">
        <v>73</v>
      </c>
      <c r="AG119" s="118"/>
      <c r="AH119" s="47">
        <f t="shared" si="10"/>
        <v>97.1</v>
      </c>
      <c r="AI119" s="48">
        <f t="shared" si="11"/>
        <v>51.3</v>
      </c>
    </row>
    <row r="120" spans="1:37" ht="15.75" thickBot="1" x14ac:dyDescent="0.3">
      <c r="A120" s="119" t="s">
        <v>128</v>
      </c>
      <c r="B120" s="105">
        <v>14.4</v>
      </c>
      <c r="C120" s="105">
        <v>11.3</v>
      </c>
      <c r="D120" s="105">
        <v>8.1999999999999993</v>
      </c>
      <c r="E120" s="105">
        <v>-1.8</v>
      </c>
      <c r="F120" s="105"/>
      <c r="G120" s="105"/>
      <c r="H120" s="105">
        <v>-8.1</v>
      </c>
      <c r="I120" s="105">
        <v>-7.7</v>
      </c>
      <c r="J120" s="105">
        <v>-7.8</v>
      </c>
      <c r="K120" s="105">
        <v>-10</v>
      </c>
      <c r="L120" s="105">
        <v>34.200000000000003</v>
      </c>
      <c r="M120" s="105">
        <v>-6</v>
      </c>
      <c r="N120" s="105">
        <v>-11.6</v>
      </c>
      <c r="O120" s="105">
        <v>-5</v>
      </c>
      <c r="P120" s="105">
        <v>-5</v>
      </c>
      <c r="Q120" s="105">
        <v>-5.3</v>
      </c>
      <c r="R120" s="105">
        <v>-8.6999999999999993</v>
      </c>
      <c r="S120" s="105">
        <v>-8.6999999999999993</v>
      </c>
      <c r="T120" s="105">
        <v>-14.7</v>
      </c>
      <c r="U120" s="105">
        <v>-14.7</v>
      </c>
      <c r="V120" s="105">
        <v>-7.2</v>
      </c>
      <c r="W120" s="105">
        <v>-4.5</v>
      </c>
      <c r="X120" s="105">
        <v>11.5</v>
      </c>
      <c r="Y120" s="105">
        <v>13</v>
      </c>
      <c r="Z120" s="105">
        <v>8.6999999999999993</v>
      </c>
      <c r="AA120" s="105">
        <v>6.2</v>
      </c>
      <c r="AB120" s="105">
        <v>3</v>
      </c>
      <c r="AC120" s="105">
        <v>2.5</v>
      </c>
      <c r="AD120" s="105">
        <v>0.2</v>
      </c>
      <c r="AE120" s="105">
        <v>-10.5</v>
      </c>
      <c r="AF120" s="105">
        <v>-7</v>
      </c>
      <c r="AG120" s="118"/>
      <c r="AH120" s="47">
        <f t="shared" si="10"/>
        <v>34.200000000000003</v>
      </c>
      <c r="AI120" s="48">
        <f t="shared" si="11"/>
        <v>-14.7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0">SUM(B122:B226)</f>
        <v>0</v>
      </c>
      <c r="C227" s="136">
        <f t="shared" si="20"/>
        <v>0</v>
      </c>
      <c r="D227" s="136">
        <f t="shared" si="20"/>
        <v>0</v>
      </c>
      <c r="E227" s="136">
        <f t="shared" si="20"/>
        <v>0</v>
      </c>
      <c r="F227" s="136">
        <f t="shared" si="20"/>
        <v>0</v>
      </c>
      <c r="G227" s="136">
        <f t="shared" si="20"/>
        <v>0</v>
      </c>
      <c r="H227" s="136">
        <f t="shared" si="20"/>
        <v>0</v>
      </c>
      <c r="I227" s="136">
        <f t="shared" si="20"/>
        <v>0</v>
      </c>
      <c r="J227" s="136">
        <f t="shared" si="20"/>
        <v>0</v>
      </c>
      <c r="K227" s="136">
        <f t="shared" si="20"/>
        <v>0</v>
      </c>
      <c r="L227" s="136">
        <f t="shared" si="20"/>
        <v>0</v>
      </c>
      <c r="M227" s="136">
        <f t="shared" si="20"/>
        <v>0</v>
      </c>
      <c r="N227" s="136">
        <f t="shared" si="20"/>
        <v>0</v>
      </c>
      <c r="O227" s="136">
        <f t="shared" si="20"/>
        <v>0</v>
      </c>
      <c r="P227" s="136">
        <f t="shared" si="20"/>
        <v>0</v>
      </c>
      <c r="Q227" s="136">
        <f t="shared" si="20"/>
        <v>0</v>
      </c>
      <c r="R227" s="136">
        <f t="shared" si="20"/>
        <v>0</v>
      </c>
      <c r="S227" s="136">
        <f t="shared" si="20"/>
        <v>0</v>
      </c>
      <c r="T227" s="136">
        <f t="shared" si="20"/>
        <v>0</v>
      </c>
      <c r="U227" s="136">
        <f t="shared" si="20"/>
        <v>0</v>
      </c>
      <c r="V227" s="136">
        <f t="shared" si="20"/>
        <v>0</v>
      </c>
      <c r="W227" s="136">
        <f t="shared" si="20"/>
        <v>0</v>
      </c>
      <c r="X227" s="136">
        <f t="shared" si="20"/>
        <v>0</v>
      </c>
      <c r="Y227" s="136">
        <f t="shared" si="20"/>
        <v>0</v>
      </c>
      <c r="Z227" s="136">
        <f t="shared" si="20"/>
        <v>0</v>
      </c>
      <c r="AA227" s="136">
        <f t="shared" si="20"/>
        <v>0</v>
      </c>
      <c r="AB227" s="136">
        <f t="shared" si="20"/>
        <v>0</v>
      </c>
      <c r="AC227" s="136">
        <f t="shared" si="20"/>
        <v>0</v>
      </c>
      <c r="AD227" s="136">
        <f t="shared" si="20"/>
        <v>0</v>
      </c>
      <c r="AE227" s="136">
        <f t="shared" si="20"/>
        <v>0</v>
      </c>
      <c r="AF227" s="137">
        <f t="shared" si="20"/>
        <v>0</v>
      </c>
      <c r="AG227" s="138">
        <f t="shared" si="20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1">AF229</f>
        <v>0</v>
      </c>
      <c r="C229" s="140">
        <v>0.3</v>
      </c>
      <c r="D229" s="140">
        <f t="shared" ref="D229:P234" si="22">C229</f>
        <v>0.3</v>
      </c>
      <c r="E229" s="140">
        <f t="shared" si="22"/>
        <v>0.3</v>
      </c>
      <c r="F229" s="140">
        <f t="shared" si="22"/>
        <v>0.3</v>
      </c>
      <c r="G229" s="140">
        <f t="shared" si="22"/>
        <v>0.3</v>
      </c>
      <c r="H229" s="140">
        <f t="shared" si="22"/>
        <v>0.3</v>
      </c>
      <c r="I229" s="140">
        <f t="shared" si="22"/>
        <v>0.3</v>
      </c>
      <c r="J229" s="140">
        <f t="shared" si="22"/>
        <v>0.3</v>
      </c>
      <c r="K229" s="140">
        <f t="shared" si="22"/>
        <v>0.3</v>
      </c>
      <c r="L229" s="140">
        <f t="shared" si="22"/>
        <v>0.3</v>
      </c>
      <c r="M229" s="140">
        <f t="shared" si="22"/>
        <v>0.3</v>
      </c>
      <c r="N229" s="140">
        <f t="shared" si="22"/>
        <v>0.3</v>
      </c>
      <c r="O229" s="140">
        <f t="shared" si="22"/>
        <v>0.3</v>
      </c>
      <c r="P229" s="140">
        <f t="shared" si="22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1"/>
        <v>0</v>
      </c>
      <c r="C230" s="128">
        <v>0.4</v>
      </c>
      <c r="D230" s="128">
        <f t="shared" si="22"/>
        <v>0.4</v>
      </c>
      <c r="E230" s="128">
        <f t="shared" si="22"/>
        <v>0.4</v>
      </c>
      <c r="F230" s="128">
        <f t="shared" si="22"/>
        <v>0.4</v>
      </c>
      <c r="G230" s="128">
        <f t="shared" si="22"/>
        <v>0.4</v>
      </c>
      <c r="H230" s="128">
        <f t="shared" si="22"/>
        <v>0.4</v>
      </c>
      <c r="I230" s="128">
        <f t="shared" si="22"/>
        <v>0.4</v>
      </c>
      <c r="J230" s="128">
        <f t="shared" si="22"/>
        <v>0.4</v>
      </c>
      <c r="K230" s="128">
        <f t="shared" si="22"/>
        <v>0.4</v>
      </c>
      <c r="L230" s="128">
        <f t="shared" si="22"/>
        <v>0.4</v>
      </c>
      <c r="M230" s="128">
        <f t="shared" si="22"/>
        <v>0.4</v>
      </c>
      <c r="N230" s="128">
        <f t="shared" si="22"/>
        <v>0.4</v>
      </c>
      <c r="O230" s="128">
        <f t="shared" si="22"/>
        <v>0.4</v>
      </c>
      <c r="P230" s="128">
        <f t="shared" si="22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1"/>
        <v>0</v>
      </c>
      <c r="C231" s="128">
        <v>1.5</v>
      </c>
      <c r="D231" s="128">
        <f t="shared" si="22"/>
        <v>1.5</v>
      </c>
      <c r="E231" s="128">
        <f t="shared" si="22"/>
        <v>1.5</v>
      </c>
      <c r="F231" s="128">
        <f t="shared" si="22"/>
        <v>1.5</v>
      </c>
      <c r="G231" s="128">
        <f t="shared" si="22"/>
        <v>1.5</v>
      </c>
      <c r="H231" s="128">
        <f t="shared" si="22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2"/>
        <v>123.21900000000009</v>
      </c>
      <c r="K231" s="128">
        <f t="shared" ca="1" si="22"/>
        <v>123.21900000000009</v>
      </c>
      <c r="L231" s="128">
        <f t="shared" ca="1" si="22"/>
        <v>123.21900000000009</v>
      </c>
      <c r="M231" s="128">
        <f t="shared" ca="1" si="22"/>
        <v>119.19900000000008</v>
      </c>
      <c r="N231" s="128">
        <f t="shared" ca="1" si="22"/>
        <v>119.19900000000008</v>
      </c>
      <c r="O231" s="128">
        <f t="shared" ca="1" si="22"/>
        <v>119.19900000000008</v>
      </c>
      <c r="P231" s="128">
        <f t="shared" ca="1" si="22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1"/>
        <v>0</v>
      </c>
      <c r="C232" s="128">
        <v>0.3</v>
      </c>
      <c r="D232" s="128">
        <f t="shared" si="22"/>
        <v>0.3</v>
      </c>
      <c r="E232" s="128">
        <f t="shared" si="22"/>
        <v>0.3</v>
      </c>
      <c r="F232" s="128">
        <f t="shared" si="22"/>
        <v>0.3</v>
      </c>
      <c r="G232" s="128">
        <f t="shared" si="22"/>
        <v>0.3</v>
      </c>
      <c r="H232" s="128">
        <f t="shared" si="22"/>
        <v>0.3</v>
      </c>
      <c r="I232" s="128">
        <f t="shared" si="22"/>
        <v>0.3</v>
      </c>
      <c r="J232" s="128">
        <f t="shared" si="22"/>
        <v>0.3</v>
      </c>
      <c r="K232" s="128">
        <f t="shared" si="22"/>
        <v>0.3</v>
      </c>
      <c r="L232" s="128">
        <f t="shared" si="22"/>
        <v>0.3</v>
      </c>
      <c r="M232" s="128">
        <f t="shared" si="22"/>
        <v>0.3</v>
      </c>
      <c r="N232" s="128">
        <f t="shared" si="22"/>
        <v>0.3</v>
      </c>
      <c r="O232" s="128">
        <f t="shared" si="22"/>
        <v>0.3</v>
      </c>
      <c r="P232" s="128">
        <f t="shared" si="22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1"/>
        <v>0</v>
      </c>
      <c r="C233" s="128">
        <v>0.4</v>
      </c>
      <c r="D233" s="128">
        <f t="shared" si="22"/>
        <v>0.4</v>
      </c>
      <c r="E233" s="128">
        <f t="shared" si="22"/>
        <v>0.4</v>
      </c>
      <c r="F233" s="128">
        <f t="shared" si="22"/>
        <v>0.4</v>
      </c>
      <c r="G233" s="128">
        <f t="shared" si="22"/>
        <v>0.4</v>
      </c>
      <c r="H233" s="128">
        <f t="shared" si="22"/>
        <v>0.4</v>
      </c>
      <c r="I233" s="128">
        <f t="shared" si="22"/>
        <v>0.4</v>
      </c>
      <c r="J233" s="128">
        <f t="shared" si="22"/>
        <v>0.4</v>
      </c>
      <c r="K233" s="128">
        <f t="shared" si="22"/>
        <v>0.4</v>
      </c>
      <c r="L233" s="128">
        <f t="shared" si="22"/>
        <v>0.4</v>
      </c>
      <c r="M233" s="128">
        <f t="shared" si="22"/>
        <v>0.4</v>
      </c>
      <c r="N233" s="128">
        <f t="shared" si="22"/>
        <v>0.4</v>
      </c>
      <c r="O233" s="128">
        <f t="shared" si="22"/>
        <v>0.4</v>
      </c>
      <c r="P233" s="128">
        <f t="shared" si="22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1"/>
        <v>0</v>
      </c>
      <c r="C234" s="132">
        <v>0.64</v>
      </c>
      <c r="D234" s="132">
        <f t="shared" si="22"/>
        <v>0.64</v>
      </c>
      <c r="E234" s="132">
        <f t="shared" si="22"/>
        <v>0.64</v>
      </c>
      <c r="F234" s="132">
        <f t="shared" si="22"/>
        <v>0.64</v>
      </c>
      <c r="G234" s="132">
        <f t="shared" si="22"/>
        <v>0.64</v>
      </c>
      <c r="H234" s="132">
        <f t="shared" si="22"/>
        <v>0.64</v>
      </c>
      <c r="I234" s="132">
        <f t="shared" si="22"/>
        <v>0.64</v>
      </c>
      <c r="J234" s="132">
        <f t="shared" si="22"/>
        <v>0.64</v>
      </c>
      <c r="K234" s="132">
        <f t="shared" si="22"/>
        <v>0.64</v>
      </c>
      <c r="L234" s="132">
        <f t="shared" si="22"/>
        <v>0.64</v>
      </c>
      <c r="M234" s="132">
        <f t="shared" si="22"/>
        <v>0.64</v>
      </c>
      <c r="N234" s="132">
        <f t="shared" si="22"/>
        <v>0.64</v>
      </c>
      <c r="O234" s="132">
        <f t="shared" si="22"/>
        <v>0.64</v>
      </c>
      <c r="P234" s="132">
        <f t="shared" si="22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3">SUM(B229:B234)</f>
        <v>0</v>
      </c>
      <c r="C235" s="136">
        <f t="shared" si="23"/>
        <v>3.54</v>
      </c>
      <c r="D235" s="136">
        <f t="shared" si="23"/>
        <v>3.54</v>
      </c>
      <c r="E235" s="136">
        <f t="shared" si="23"/>
        <v>3.54</v>
      </c>
      <c r="F235" s="136">
        <f t="shared" si="23"/>
        <v>3.54</v>
      </c>
      <c r="G235" s="136">
        <f t="shared" si="23"/>
        <v>3.54</v>
      </c>
      <c r="H235" s="136">
        <f t="shared" si="23"/>
        <v>3.54</v>
      </c>
      <c r="I235" s="136">
        <f t="shared" ca="1" si="23"/>
        <v>121.23900000000009</v>
      </c>
      <c r="J235" s="136">
        <f t="shared" ca="1" si="23"/>
        <v>121.23900000000009</v>
      </c>
      <c r="K235" s="136">
        <f t="shared" ca="1" si="23"/>
        <v>121.23900000000009</v>
      </c>
      <c r="L235" s="136">
        <f t="shared" ca="1" si="23"/>
        <v>125.2590000000001</v>
      </c>
      <c r="M235" s="136">
        <f t="shared" ca="1" si="23"/>
        <v>121.23900000000009</v>
      </c>
      <c r="N235" s="136">
        <f t="shared" ca="1" si="23"/>
        <v>121.23900000000009</v>
      </c>
      <c r="O235" s="136">
        <f t="shared" ca="1" si="23"/>
        <v>121.23900000000009</v>
      </c>
      <c r="P235" s="136">
        <f t="shared" ca="1" si="23"/>
        <v>121.23900000000009</v>
      </c>
      <c r="Q235" s="136">
        <f t="shared" si="23"/>
        <v>0</v>
      </c>
      <c r="R235" s="136">
        <f t="shared" si="23"/>
        <v>0</v>
      </c>
      <c r="S235" s="136">
        <f t="shared" si="23"/>
        <v>0</v>
      </c>
      <c r="T235" s="136">
        <f t="shared" si="23"/>
        <v>0</v>
      </c>
      <c r="U235" s="136">
        <f t="shared" si="23"/>
        <v>0</v>
      </c>
      <c r="V235" s="136">
        <f t="shared" si="23"/>
        <v>0</v>
      </c>
      <c r="W235" s="136">
        <f t="shared" si="23"/>
        <v>0</v>
      </c>
      <c r="X235" s="136">
        <f t="shared" si="23"/>
        <v>0</v>
      </c>
      <c r="Y235" s="136">
        <f t="shared" si="23"/>
        <v>0</v>
      </c>
      <c r="Z235" s="136">
        <f t="shared" si="23"/>
        <v>0</v>
      </c>
      <c r="AA235" s="136">
        <f t="shared" si="23"/>
        <v>0</v>
      </c>
      <c r="AB235" s="136">
        <f t="shared" si="23"/>
        <v>0</v>
      </c>
      <c r="AC235" s="136">
        <f t="shared" si="23"/>
        <v>0</v>
      </c>
      <c r="AD235" s="136">
        <f t="shared" si="23"/>
        <v>0</v>
      </c>
      <c r="AE235" s="136">
        <f t="shared" si="23"/>
        <v>0</v>
      </c>
      <c r="AF235" s="136">
        <f t="shared" si="23"/>
        <v>0</v>
      </c>
      <c r="AG235" s="145">
        <f t="shared" si="23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2111.34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16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2080/05/16)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2080/05/16)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4">B91</f>
        <v>2048.44</v>
      </c>
      <c r="U249" s="170">
        <f t="shared" si="24"/>
        <v>2032.4399999999998</v>
      </c>
      <c r="V249" s="170">
        <f t="shared" si="24"/>
        <v>2028.54</v>
      </c>
      <c r="W249" s="170">
        <f t="shared" si="24"/>
        <v>2010.64</v>
      </c>
      <c r="X249" s="170">
        <f t="shared" si="24"/>
        <v>3.54</v>
      </c>
      <c r="Y249" s="170">
        <f t="shared" si="24"/>
        <v>3.54</v>
      </c>
      <c r="Z249" s="170">
        <f t="shared" si="24"/>
        <v>1902.94</v>
      </c>
      <c r="AA249" s="170">
        <f t="shared" si="24"/>
        <v>1919.9399999999998</v>
      </c>
      <c r="AB249" s="170">
        <f t="shared" si="24"/>
        <v>1924.0400000000002</v>
      </c>
      <c r="AC249" s="170">
        <f t="shared" si="24"/>
        <v>2002.54</v>
      </c>
      <c r="AD249" s="170">
        <f t="shared" si="24"/>
        <v>2064.14</v>
      </c>
      <c r="AE249" s="170">
        <f t="shared" si="24"/>
        <v>2111.34</v>
      </c>
      <c r="AF249" s="170">
        <f t="shared" si="24"/>
        <v>2103.04</v>
      </c>
      <c r="AG249" s="170">
        <f t="shared" si="24"/>
        <v>2093.04</v>
      </c>
      <c r="AH249" s="170">
        <f t="shared" si="24"/>
        <v>2076.34</v>
      </c>
      <c r="AI249" s="170">
        <f t="shared" si="24"/>
        <v>2046.3400000000001</v>
      </c>
      <c r="AJ249" s="170">
        <f t="shared" si="24"/>
        <v>2034.2399999999998</v>
      </c>
      <c r="AK249" s="170">
        <f t="shared" si="24"/>
        <v>2060.7399999999998</v>
      </c>
      <c r="AL249" s="170">
        <f t="shared" si="24"/>
        <v>2066.84</v>
      </c>
      <c r="AM249" s="170">
        <f t="shared" si="24"/>
        <v>2087.44</v>
      </c>
      <c r="AN249" s="170">
        <f t="shared" si="24"/>
        <v>2144.54</v>
      </c>
      <c r="AO249" s="170">
        <f t="shared" si="24"/>
        <v>2145.6</v>
      </c>
      <c r="AP249" s="170">
        <f t="shared" si="24"/>
        <v>2173.2000000000003</v>
      </c>
      <c r="AQ249" s="170">
        <f t="shared" si="24"/>
        <v>2167.2000000000003</v>
      </c>
      <c r="AR249" s="170">
        <f t="shared" si="24"/>
        <v>2165.7399999999998</v>
      </c>
      <c r="AS249" s="170">
        <f t="shared" si="24"/>
        <v>2168.9</v>
      </c>
      <c r="AT249" s="170">
        <f t="shared" si="24"/>
        <v>2151.2000000000003</v>
      </c>
      <c r="AU249" s="170">
        <f t="shared" si="24"/>
        <v>2154.4</v>
      </c>
      <c r="AV249" s="170">
        <f t="shared" si="24"/>
        <v>2103</v>
      </c>
      <c r="AW249" s="170">
        <f t="shared" si="24"/>
        <v>2005.54</v>
      </c>
      <c r="AX249" s="170">
        <f t="shared" si="24"/>
        <v>2005.94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5">C234</f>
        <v>0.64</v>
      </c>
      <c r="C270" s="173">
        <f t="shared" si="25"/>
        <v>0.64</v>
      </c>
      <c r="D270" s="173">
        <f t="shared" si="25"/>
        <v>0.64</v>
      </c>
      <c r="E270" s="173">
        <f t="shared" si="25"/>
        <v>0.64</v>
      </c>
      <c r="F270" s="173">
        <f t="shared" si="25"/>
        <v>0.64</v>
      </c>
      <c r="G270" s="173">
        <f t="shared" si="25"/>
        <v>0.64</v>
      </c>
      <c r="H270" s="173">
        <f t="shared" si="25"/>
        <v>0.64</v>
      </c>
      <c r="I270" s="173">
        <f t="shared" si="25"/>
        <v>0.64</v>
      </c>
      <c r="J270" s="173">
        <f t="shared" si="25"/>
        <v>0.64</v>
      </c>
      <c r="K270" s="173">
        <f t="shared" si="25"/>
        <v>0.64</v>
      </c>
      <c r="L270" s="173">
        <f t="shared" si="25"/>
        <v>0.64</v>
      </c>
      <c r="M270" s="173">
        <f t="shared" si="25"/>
        <v>0.64</v>
      </c>
      <c r="N270" s="173">
        <f t="shared" si="25"/>
        <v>0.64</v>
      </c>
      <c r="O270" s="173">
        <f t="shared" si="25"/>
        <v>0.64</v>
      </c>
      <c r="P270" s="173">
        <f t="shared" si="25"/>
        <v>0</v>
      </c>
      <c r="Q270" s="173">
        <f t="shared" si="25"/>
        <v>0</v>
      </c>
      <c r="R270" s="173">
        <f t="shared" si="25"/>
        <v>0</v>
      </c>
      <c r="S270" s="173">
        <f t="shared" si="25"/>
        <v>0</v>
      </c>
      <c r="T270" s="173">
        <f t="shared" si="25"/>
        <v>0</v>
      </c>
      <c r="U270" s="173">
        <f t="shared" si="25"/>
        <v>0</v>
      </c>
      <c r="V270" s="173">
        <f t="shared" si="25"/>
        <v>0</v>
      </c>
      <c r="W270" s="173">
        <f t="shared" si="25"/>
        <v>0</v>
      </c>
      <c r="X270" s="173">
        <f t="shared" si="25"/>
        <v>0</v>
      </c>
      <c r="Y270" s="173">
        <f t="shared" si="25"/>
        <v>0</v>
      </c>
      <c r="Z270" s="173">
        <f t="shared" si="25"/>
        <v>0</v>
      </c>
      <c r="AA270" s="173">
        <f t="shared" si="25"/>
        <v>0</v>
      </c>
      <c r="AB270" s="173">
        <f t="shared" si="25"/>
        <v>0</v>
      </c>
      <c r="AC270" s="173">
        <f t="shared" si="25"/>
        <v>0</v>
      </c>
      <c r="AD270" s="173">
        <f t="shared" si="25"/>
        <v>0</v>
      </c>
      <c r="AE270" s="173">
        <f t="shared" si="25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6">IF(B238&lt;100,"",B238-520)</f>
        <v/>
      </c>
      <c r="C271" s="174" t="str">
        <f t="shared" si="26"/>
        <v/>
      </c>
      <c r="D271" s="174" t="str">
        <f t="shared" si="26"/>
        <v/>
      </c>
      <c r="E271" s="174" t="str">
        <f t="shared" si="26"/>
        <v/>
      </c>
      <c r="F271" s="174" t="str">
        <f t="shared" si="26"/>
        <v/>
      </c>
      <c r="G271" s="174" t="str">
        <f t="shared" si="26"/>
        <v/>
      </c>
      <c r="H271" s="174" t="str">
        <f t="shared" si="26"/>
        <v/>
      </c>
      <c r="I271" s="174" t="str">
        <f t="shared" si="26"/>
        <v/>
      </c>
      <c r="J271" s="174" t="str">
        <f t="shared" si="26"/>
        <v/>
      </c>
      <c r="K271" s="174" t="str">
        <f t="shared" si="26"/>
        <v/>
      </c>
      <c r="L271" s="174" t="str">
        <f t="shared" si="26"/>
        <v/>
      </c>
      <c r="M271" s="174" t="str">
        <f t="shared" si="26"/>
        <v/>
      </c>
      <c r="N271" s="174" t="str">
        <f t="shared" si="26"/>
        <v/>
      </c>
      <c r="O271" s="174" t="str">
        <f t="shared" si="26"/>
        <v/>
      </c>
      <c r="P271" s="174" t="str">
        <f t="shared" si="26"/>
        <v/>
      </c>
      <c r="Q271" s="174" t="str">
        <f t="shared" si="26"/>
        <v/>
      </c>
      <c r="R271" s="174" t="str">
        <f t="shared" si="26"/>
        <v/>
      </c>
      <c r="S271" s="174" t="str">
        <f t="shared" si="26"/>
        <v/>
      </c>
      <c r="T271" s="174" t="str">
        <f t="shared" si="26"/>
        <v/>
      </c>
      <c r="U271" s="174" t="str">
        <f t="shared" si="26"/>
        <v/>
      </c>
      <c r="V271" s="174" t="str">
        <f t="shared" si="26"/>
        <v/>
      </c>
      <c r="W271" s="174" t="str">
        <f t="shared" si="26"/>
        <v/>
      </c>
      <c r="X271" s="174" t="str">
        <f t="shared" si="26"/>
        <v/>
      </c>
      <c r="Y271" s="174" t="str">
        <f t="shared" si="26"/>
        <v/>
      </c>
      <c r="Z271" s="174" t="str">
        <f t="shared" si="26"/>
        <v/>
      </c>
      <c r="AA271" s="174" t="str">
        <f t="shared" si="26"/>
        <v/>
      </c>
      <c r="AB271" s="174" t="str">
        <f t="shared" si="26"/>
        <v/>
      </c>
      <c r="AC271" s="174" t="str">
        <f t="shared" si="26"/>
        <v/>
      </c>
      <c r="AD271" s="174" t="str">
        <f t="shared" si="26"/>
        <v/>
      </c>
      <c r="AE271" s="174" t="str">
        <f t="shared" si="26"/>
        <v/>
      </c>
      <c r="AF271" s="174" t="str">
        <f t="shared" si="26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7">IF(B239&lt;100,"",B239-620)</f>
        <v/>
      </c>
      <c r="C272" s="174" t="str">
        <f t="shared" si="27"/>
        <v/>
      </c>
      <c r="D272" s="174" t="str">
        <f t="shared" si="27"/>
        <v/>
      </c>
      <c r="E272" s="174" t="str">
        <f t="shared" si="27"/>
        <v/>
      </c>
      <c r="F272" s="174" t="str">
        <f t="shared" si="27"/>
        <v/>
      </c>
      <c r="G272" s="174" t="str">
        <f t="shared" si="27"/>
        <v/>
      </c>
      <c r="H272" s="174" t="str">
        <f t="shared" si="27"/>
        <v/>
      </c>
      <c r="I272" s="174" t="str">
        <f t="shared" si="27"/>
        <v/>
      </c>
      <c r="J272" s="174" t="str">
        <f t="shared" si="27"/>
        <v/>
      </c>
      <c r="K272" s="174" t="str">
        <f t="shared" si="27"/>
        <v/>
      </c>
      <c r="L272" s="174" t="str">
        <f t="shared" si="27"/>
        <v/>
      </c>
      <c r="M272" s="174" t="str">
        <f t="shared" si="27"/>
        <v/>
      </c>
      <c r="N272" s="174" t="str">
        <f t="shared" si="27"/>
        <v/>
      </c>
      <c r="O272" s="174" t="str">
        <f t="shared" si="27"/>
        <v/>
      </c>
      <c r="P272" s="174" t="str">
        <f t="shared" si="27"/>
        <v/>
      </c>
      <c r="Q272" s="174" t="str">
        <f t="shared" si="27"/>
        <v/>
      </c>
      <c r="R272" s="174" t="str">
        <f t="shared" si="27"/>
        <v/>
      </c>
      <c r="S272" s="174" t="str">
        <f t="shared" si="27"/>
        <v/>
      </c>
      <c r="T272" s="174" t="str">
        <f t="shared" si="27"/>
        <v/>
      </c>
      <c r="U272" s="174" t="str">
        <f t="shared" si="27"/>
        <v/>
      </c>
      <c r="V272" s="174" t="str">
        <f t="shared" si="27"/>
        <v/>
      </c>
      <c r="W272" s="174" t="str">
        <f t="shared" si="27"/>
        <v/>
      </c>
      <c r="X272" s="174" t="str">
        <f t="shared" si="27"/>
        <v/>
      </c>
      <c r="Y272" s="174" t="str">
        <f t="shared" si="27"/>
        <v/>
      </c>
      <c r="Z272" s="174" t="str">
        <f t="shared" si="27"/>
        <v/>
      </c>
      <c r="AA272" s="174" t="str">
        <f t="shared" si="27"/>
        <v/>
      </c>
      <c r="AB272" s="174" t="str">
        <f t="shared" si="27"/>
        <v/>
      </c>
      <c r="AC272" s="174" t="str">
        <f t="shared" si="27"/>
        <v/>
      </c>
      <c r="AD272" s="174" t="str">
        <f t="shared" si="27"/>
        <v/>
      </c>
      <c r="AE272" s="174" t="str">
        <f t="shared" si="27"/>
        <v/>
      </c>
      <c r="AF272" s="174" t="str">
        <f t="shared" si="27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8">IF(B240&lt;100,"",B240-330)</f>
        <v/>
      </c>
      <c r="C273" s="174" t="str">
        <f t="shared" si="28"/>
        <v/>
      </c>
      <c r="D273" s="174" t="str">
        <f t="shared" si="28"/>
        <v/>
      </c>
      <c r="E273" s="174" t="str">
        <f t="shared" si="28"/>
        <v/>
      </c>
      <c r="F273" s="174" t="str">
        <f t="shared" si="28"/>
        <v/>
      </c>
      <c r="G273" s="174" t="str">
        <f t="shared" si="28"/>
        <v/>
      </c>
      <c r="H273" s="174" t="str">
        <f t="shared" si="28"/>
        <v/>
      </c>
      <c r="I273" s="174" t="str">
        <f t="shared" si="28"/>
        <v/>
      </c>
      <c r="J273" s="174" t="str">
        <f t="shared" si="28"/>
        <v/>
      </c>
      <c r="K273" s="174" t="str">
        <f t="shared" si="28"/>
        <v/>
      </c>
      <c r="L273" s="174" t="str">
        <f t="shared" si="28"/>
        <v/>
      </c>
      <c r="M273" s="174" t="str">
        <f t="shared" si="28"/>
        <v/>
      </c>
      <c r="N273" s="174" t="str">
        <f t="shared" si="28"/>
        <v/>
      </c>
      <c r="O273" s="174" t="str">
        <f t="shared" si="28"/>
        <v/>
      </c>
      <c r="P273" s="174" t="str">
        <f t="shared" si="28"/>
        <v/>
      </c>
      <c r="Q273" s="174" t="str">
        <f t="shared" si="28"/>
        <v/>
      </c>
      <c r="R273" s="174" t="str">
        <f t="shared" si="28"/>
        <v/>
      </c>
      <c r="S273" s="174" t="str">
        <f t="shared" si="28"/>
        <v/>
      </c>
      <c r="T273" s="174" t="str">
        <f t="shared" si="28"/>
        <v/>
      </c>
      <c r="U273" s="174" t="str">
        <f t="shared" si="28"/>
        <v/>
      </c>
      <c r="V273" s="174" t="str">
        <f t="shared" si="28"/>
        <v/>
      </c>
      <c r="W273" s="174" t="str">
        <f t="shared" si="28"/>
        <v/>
      </c>
      <c r="X273" s="174" t="str">
        <f t="shared" si="28"/>
        <v/>
      </c>
      <c r="Y273" s="174" t="str">
        <f t="shared" si="28"/>
        <v/>
      </c>
      <c r="Z273" s="174" t="str">
        <f t="shared" si="28"/>
        <v/>
      </c>
      <c r="AA273" s="174" t="str">
        <f t="shared" si="28"/>
        <v/>
      </c>
      <c r="AB273" s="174" t="str">
        <f t="shared" si="28"/>
        <v/>
      </c>
      <c r="AC273" s="174" t="str">
        <f t="shared" si="28"/>
        <v/>
      </c>
      <c r="AD273" s="174" t="str">
        <f t="shared" si="28"/>
        <v/>
      </c>
      <c r="AE273" s="174" t="str">
        <f t="shared" si="28"/>
        <v/>
      </c>
      <c r="AF273" s="174" t="str">
        <f t="shared" si="28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9">IF(B241&lt;100,"",B241-1500)</f>
        <v/>
      </c>
      <c r="C274" s="174" t="str">
        <f t="shared" si="29"/>
        <v/>
      </c>
      <c r="D274" s="174" t="str">
        <f t="shared" si="29"/>
        <v/>
      </c>
      <c r="E274" s="174" t="str">
        <f t="shared" si="29"/>
        <v/>
      </c>
      <c r="F274" s="174" t="str">
        <f t="shared" si="29"/>
        <v/>
      </c>
      <c r="G274" s="174" t="str">
        <f t="shared" si="29"/>
        <v/>
      </c>
      <c r="H274" s="174" t="str">
        <f t="shared" si="29"/>
        <v/>
      </c>
      <c r="I274" s="174" t="str">
        <f t="shared" si="29"/>
        <v/>
      </c>
      <c r="J274" s="174" t="str">
        <f t="shared" si="29"/>
        <v/>
      </c>
      <c r="K274" s="174" t="str">
        <f t="shared" si="29"/>
        <v/>
      </c>
      <c r="L274" s="174" t="str">
        <f t="shared" si="29"/>
        <v/>
      </c>
      <c r="M274" s="174" t="str">
        <f t="shared" si="29"/>
        <v/>
      </c>
      <c r="N274" s="174" t="str">
        <f t="shared" si="29"/>
        <v/>
      </c>
      <c r="O274" s="174" t="str">
        <f t="shared" si="29"/>
        <v/>
      </c>
      <c r="P274" s="174" t="str">
        <f t="shared" si="29"/>
        <v/>
      </c>
      <c r="Q274" s="174" t="str">
        <f t="shared" si="29"/>
        <v/>
      </c>
      <c r="R274" s="174" t="str">
        <f t="shared" si="29"/>
        <v/>
      </c>
      <c r="S274" s="174" t="str">
        <f t="shared" si="29"/>
        <v/>
      </c>
      <c r="T274" s="174" t="str">
        <f t="shared" si="29"/>
        <v/>
      </c>
      <c r="U274" s="174" t="str">
        <f t="shared" si="29"/>
        <v/>
      </c>
      <c r="V274" s="174" t="str">
        <f t="shared" si="29"/>
        <v/>
      </c>
      <c r="W274" s="174" t="str">
        <f t="shared" si="29"/>
        <v/>
      </c>
      <c r="X274" s="174" t="str">
        <f t="shared" si="29"/>
        <v/>
      </c>
      <c r="Y274" s="174" t="str">
        <f t="shared" si="29"/>
        <v/>
      </c>
      <c r="Z274" s="174" t="str">
        <f t="shared" si="29"/>
        <v/>
      </c>
      <c r="AA274" s="174" t="str">
        <f t="shared" si="29"/>
        <v/>
      </c>
      <c r="AB274" s="174" t="str">
        <f t="shared" si="29"/>
        <v/>
      </c>
      <c r="AC274" s="174" t="str">
        <f t="shared" si="29"/>
        <v/>
      </c>
      <c r="AD274" s="174" t="str">
        <f t="shared" si="29"/>
        <v/>
      </c>
      <c r="AE274" s="174" t="str">
        <f t="shared" si="29"/>
        <v/>
      </c>
      <c r="AF274" s="174" t="str">
        <f t="shared" si="29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2023" priority="64">
      <formula>$AH11=0</formula>
    </cfRule>
  </conditionalFormatting>
  <conditionalFormatting sqref="B8 M8 S8 AB8">
    <cfRule type="expression" dxfId="2022" priority="115">
      <formula>AND(C$9&gt;=14/24,C$9&lt;20/24)</formula>
    </cfRule>
    <cfRule type="expression" dxfId="2021" priority="116">
      <formula>AND(C$9&gt;=8/24,C$9&lt;14/24)</formula>
    </cfRule>
    <cfRule type="expression" dxfId="2020" priority="117">
      <formula>C$9&lt;8/24</formula>
    </cfRule>
  </conditionalFormatting>
  <conditionalFormatting sqref="B54:C54">
    <cfRule type="expression" dxfId="2019" priority="38">
      <formula>B$9&gt;=20/24</formula>
    </cfRule>
    <cfRule type="expression" dxfId="2018" priority="39">
      <formula>AND(B$9&gt;=14/24,B$9&lt;20/24)</formula>
    </cfRule>
    <cfRule type="expression" dxfId="2017" priority="40">
      <formula>AND(B$9&gt;=8/24,B$9&lt;14/24)</formula>
    </cfRule>
    <cfRule type="expression" dxfId="2016" priority="41">
      <formula>B$9&lt;8/24</formula>
    </cfRule>
  </conditionalFormatting>
  <conditionalFormatting sqref="B54:C66 D59:D66 E60:E66">
    <cfRule type="expression" dxfId="2015" priority="33">
      <formula>B54&gt;$AG54</formula>
    </cfRule>
  </conditionalFormatting>
  <conditionalFormatting sqref="B55:D59">
    <cfRule type="expression" dxfId="2014" priority="60">
      <formula>B$9&gt;=20/24</formula>
    </cfRule>
    <cfRule type="expression" dxfId="2013" priority="61">
      <formula>AND(B$9&gt;=14/24,B$9&lt;20/24)</formula>
    </cfRule>
    <cfRule type="expression" dxfId="2012" priority="62">
      <formula>AND(B$9&gt;=8/24,B$9&lt;14/24)</formula>
    </cfRule>
    <cfRule type="expression" dxfId="2011" priority="63">
      <formula>B$9&lt;8/24</formula>
    </cfRule>
  </conditionalFormatting>
  <conditionalFormatting sqref="B60:U60">
    <cfRule type="expression" dxfId="2010" priority="51">
      <formula>B$9&gt;=20/24</formula>
    </cfRule>
    <cfRule type="expression" dxfId="2009" priority="52">
      <formula>AND(B$9&gt;=14/24,B$9&lt;20/24)</formula>
    </cfRule>
    <cfRule type="expression" dxfId="2008" priority="53">
      <formula>AND(B$9&gt;=8/24,B$9&lt;14/24)</formula>
    </cfRule>
    <cfRule type="expression" dxfId="2007" priority="54">
      <formula>B$9&lt;8/24</formula>
    </cfRule>
  </conditionalFormatting>
  <conditionalFormatting sqref="B61:AF66">
    <cfRule type="expression" dxfId="2006" priority="34">
      <formula>B$9&gt;=20/24</formula>
    </cfRule>
    <cfRule type="expression" dxfId="2005" priority="35">
      <formula>AND(B$9&gt;=14/24,B$9&lt;20/24)</formula>
    </cfRule>
    <cfRule type="expression" dxfId="2004" priority="36">
      <formula>AND(B$9&gt;=8/24,B$9&lt;14/24)</formula>
    </cfRule>
    <cfRule type="expression" dxfId="2003" priority="37">
      <formula>B$9&lt;8/24</formula>
    </cfRule>
  </conditionalFormatting>
  <conditionalFormatting sqref="B9:AF45">
    <cfRule type="expression" dxfId="2002" priority="23">
      <formula>B$9&gt;=20/24</formula>
    </cfRule>
    <cfRule type="expression" dxfId="2001" priority="24">
      <formula>AND(B$9&gt;=14/24,B$9&lt;20/24)</formula>
    </cfRule>
    <cfRule type="expression" dxfId="2000" priority="25">
      <formula>AND(B$9&gt;=8/24,B$9&lt;14/24)</formula>
    </cfRule>
    <cfRule type="expression" dxfId="1999" priority="26">
      <formula>B$9&lt;8/24</formula>
    </cfRule>
  </conditionalFormatting>
  <conditionalFormatting sqref="B11:AF46">
    <cfRule type="expression" dxfId="1998" priority="22">
      <formula>B11&gt;$AG11</formula>
    </cfRule>
  </conditionalFormatting>
  <conditionalFormatting sqref="B46:AF46">
    <cfRule type="expression" dxfId="1997" priority="18">
      <formula>B$9&gt;=20/24</formula>
    </cfRule>
    <cfRule type="expression" dxfId="1996" priority="19">
      <formula>AND(B$9&gt;=14/24,B$9&lt;20/24)</formula>
    </cfRule>
    <cfRule type="expression" dxfId="1995" priority="20">
      <formula>AND(B$9&gt;=8/24,B$9&lt;14/24)</formula>
    </cfRule>
    <cfRule type="expression" dxfId="1994" priority="21">
      <formula>B$9&lt;8/24</formula>
    </cfRule>
  </conditionalFormatting>
  <conditionalFormatting sqref="B47:AF47">
    <cfRule type="expression" dxfId="1993" priority="32">
      <formula>B47&gt;$AG47</formula>
    </cfRule>
  </conditionalFormatting>
  <conditionalFormatting sqref="B47:AF49">
    <cfRule type="expression" dxfId="1992" priority="28">
      <formula>B$9&gt;=20/24</formula>
    </cfRule>
    <cfRule type="expression" dxfId="1991" priority="29">
      <formula>AND(B$9&gt;=14/24,B$9&lt;20/24)</formula>
    </cfRule>
    <cfRule type="expression" dxfId="1990" priority="30">
      <formula>AND(B$9&gt;=8/24,B$9&lt;14/24)</formula>
    </cfRule>
    <cfRule type="expression" dxfId="1989" priority="31">
      <formula>B$9&lt;8/24</formula>
    </cfRule>
  </conditionalFormatting>
  <conditionalFormatting sqref="B48:AF53">
    <cfRule type="expression" dxfId="1988" priority="27">
      <formula>B48&gt;$AG48</formula>
    </cfRule>
  </conditionalFormatting>
  <conditionalFormatting sqref="B51:AF53">
    <cfRule type="expression" dxfId="1987" priority="47">
      <formula>B$9&gt;=20/24</formula>
    </cfRule>
    <cfRule type="expression" dxfId="1986" priority="48">
      <formula>AND(B$9&gt;=14/24,B$9&lt;20/24)</formula>
    </cfRule>
    <cfRule type="expression" dxfId="1985" priority="49">
      <formula>AND(B$9&gt;=8/24,B$9&lt;14/24)</formula>
    </cfRule>
    <cfRule type="expression" dxfId="1984" priority="50">
      <formula>B$9&lt;8/24</formula>
    </cfRule>
  </conditionalFormatting>
  <conditionalFormatting sqref="B69:AF71">
    <cfRule type="expression" dxfId="1983" priority="55">
      <formula>B69&gt;$AG69</formula>
    </cfRule>
    <cfRule type="expression" dxfId="1982" priority="56">
      <formula>B$9&gt;=20/24</formula>
    </cfRule>
    <cfRule type="expression" dxfId="1981" priority="57">
      <formula>AND(B$9&gt;=14/24,B$9&lt;20/24)</formula>
    </cfRule>
    <cfRule type="expression" dxfId="1980" priority="58">
      <formula>AND(B$9&gt;=8/24,B$9&lt;14/24)</formula>
    </cfRule>
    <cfRule type="expression" dxfId="1979" priority="59">
      <formula>B$9&lt;8/24</formula>
    </cfRule>
  </conditionalFormatting>
  <conditionalFormatting sqref="B73:AF91">
    <cfRule type="expression" dxfId="1978" priority="1">
      <formula>B$9&gt;=20/24</formula>
    </cfRule>
    <cfRule type="expression" dxfId="1977" priority="2">
      <formula>AND(B$9&gt;=14/24,B$9&lt;20/24)</formula>
    </cfRule>
    <cfRule type="expression" dxfId="1976" priority="3">
      <formula>AND(B$9&gt;=8/24,B$9&lt;14/24)</formula>
    </cfRule>
    <cfRule type="expression" dxfId="1975" priority="4">
      <formula>B$9&lt;8/24</formula>
    </cfRule>
  </conditionalFormatting>
  <conditionalFormatting sqref="B111:AF120">
    <cfRule type="expression" dxfId="1974" priority="14">
      <formula>B$9&gt;=20/24</formula>
    </cfRule>
    <cfRule type="expression" dxfId="1973" priority="15">
      <formula>AND(B$9&gt;=14/24,B$9&lt;20/24)</formula>
    </cfRule>
    <cfRule type="expression" dxfId="1972" priority="16">
      <formula>AND(B$9&gt;=8/24,B$9&lt;14/24)</formula>
    </cfRule>
    <cfRule type="expression" dxfId="1971" priority="17">
      <formula>B$9&lt;8/24</formula>
    </cfRule>
  </conditionalFormatting>
  <conditionalFormatting sqref="B227:AF227 D229:AF230 B229:B235 D231:H231 J231:AF231 D232:AF235 U248:AF248">
    <cfRule type="expression" dxfId="1970" priority="108">
      <formula>B$9&gt;=20/24</formula>
    </cfRule>
    <cfRule type="expression" dxfId="1969" priority="109">
      <formula>AND(B$9&gt;=14/24,B$9&lt;20/24)</formula>
    </cfRule>
    <cfRule type="expression" dxfId="1968" priority="110">
      <formula>AND(B$9&gt;=8/24,B$9&lt;14/24)</formula>
    </cfRule>
    <cfRule type="expression" dxfId="1967" priority="111">
      <formula>B$9&lt;8/24</formula>
    </cfRule>
  </conditionalFormatting>
  <conditionalFormatting sqref="B67:AG68 B72:AG72">
    <cfRule type="expression" dxfId="1966" priority="42">
      <formula>B67&gt;$AG67</formula>
    </cfRule>
  </conditionalFormatting>
  <conditionalFormatting sqref="B72:AG72 B93:AF109">
    <cfRule type="expression" dxfId="1965" priority="43">
      <formula>B$9&gt;=20/24</formula>
    </cfRule>
    <cfRule type="expression" dxfId="1964" priority="44">
      <formula>AND(B$9&gt;=14/24,B$9&lt;20/24)</formula>
    </cfRule>
    <cfRule type="expression" dxfId="1963" priority="45">
      <formula>AND(B$9&gt;=8/24,B$9&lt;14/24)</formula>
    </cfRule>
    <cfRule type="expression" dxfId="1962" priority="46">
      <formula>B$9&lt;8/24</formula>
    </cfRule>
  </conditionalFormatting>
  <conditionalFormatting sqref="D55:L58 F60:L66 E59:L59 M55:AF66">
    <cfRule type="expression" dxfId="1961" priority="5">
      <formula>D55&gt;$AG55</formula>
    </cfRule>
  </conditionalFormatting>
  <conditionalFormatting sqref="D54:AG54">
    <cfRule type="expression" dxfId="1960" priority="76">
      <formula>D54&gt;$AG54</formula>
    </cfRule>
    <cfRule type="expression" dxfId="1959" priority="77">
      <formula>D$9&gt;=20/24</formula>
    </cfRule>
    <cfRule type="expression" dxfId="1958" priority="78">
      <formula>AND(D$9&gt;=14/24,D$9&lt;20/24)</formula>
    </cfRule>
    <cfRule type="expression" dxfId="1957" priority="79">
      <formula>AND(D$9&gt;=8/24,D$9&lt;14/24)</formula>
    </cfRule>
    <cfRule type="expression" dxfId="1956" priority="80">
      <formula>D$9&lt;8/24</formula>
    </cfRule>
  </conditionalFormatting>
  <conditionalFormatting sqref="E55:O57">
    <cfRule type="expression" dxfId="1955" priority="89">
      <formula>E$9&gt;=20/24</formula>
    </cfRule>
    <cfRule type="expression" dxfId="1954" priority="90">
      <formula>AND(E$9&gt;=14/24,E$9&lt;20/24)</formula>
    </cfRule>
    <cfRule type="expression" dxfId="1953" priority="91">
      <formula>AND(E$9&gt;=8/24,E$9&lt;14/24)</formula>
    </cfRule>
    <cfRule type="expression" dxfId="1952" priority="92">
      <formula>E$9&lt;8/24</formula>
    </cfRule>
  </conditionalFormatting>
  <conditionalFormatting sqref="N55:U59">
    <cfRule type="expression" dxfId="1951" priority="93">
      <formula>N$9&gt;=20/24</formula>
    </cfRule>
    <cfRule type="expression" dxfId="1950" priority="94">
      <formula>AND(N$9&gt;=14/24,N$9&lt;20/24)</formula>
    </cfRule>
    <cfRule type="expression" dxfId="1949" priority="95">
      <formula>AND(N$9&gt;=8/24,N$9&lt;14/24)</formula>
    </cfRule>
    <cfRule type="expression" dxfId="1948" priority="96">
      <formula>N$9&lt;8/24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947" priority="114">
      <formula>C$9&gt;=20/24</formula>
    </cfRule>
  </conditionalFormatting>
  <conditionalFormatting sqref="S8">
    <cfRule type="expression" dxfId="1946" priority="101">
      <formula>U$9&gt;=20/24</formula>
    </cfRule>
    <cfRule type="expression" dxfId="1945" priority="102">
      <formula>AND(U$9&gt;=14/24,U$9&lt;20/24)</formula>
    </cfRule>
    <cfRule type="expression" dxfId="1944" priority="103">
      <formula>AND(U$9&gt;=8/24,U$9&lt;14/24)</formula>
    </cfRule>
    <cfRule type="expression" dxfId="1943" priority="104">
      <formula>U$9&lt;8/24</formula>
    </cfRule>
  </conditionalFormatting>
  <conditionalFormatting sqref="S55:AF60">
    <cfRule type="expression" dxfId="1942" priority="10">
      <formula>S$9&gt;=20/24</formula>
    </cfRule>
    <cfRule type="expression" dxfId="1941" priority="11">
      <formula>AND(S$9&gt;=14/24,S$9&lt;20/24)</formula>
    </cfRule>
    <cfRule type="expression" dxfId="1940" priority="12">
      <formula>AND(S$9&gt;=8/24,S$9&lt;14/24)</formula>
    </cfRule>
    <cfRule type="expression" dxfId="1939" priority="13">
      <formula>S$9&lt;8/24</formula>
    </cfRule>
  </conditionalFormatting>
  <conditionalFormatting sqref="T248">
    <cfRule type="expression" dxfId="1938" priority="126">
      <formula>AX$9&gt;=20/24</formula>
    </cfRule>
    <cfRule type="expression" dxfId="1937" priority="127">
      <formula>AND(AX$9&gt;=14/24,AX$9&lt;20/24)</formula>
    </cfRule>
    <cfRule type="expression" dxfId="1936" priority="128">
      <formula>AND(AX$9&gt;=8/24,AX$9&lt;14/24)</formula>
    </cfRule>
    <cfRule type="expression" dxfId="1935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934" priority="97">
      <formula>AD$9&gt;=20/24</formula>
    </cfRule>
    <cfRule type="expression" dxfId="1933" priority="98">
      <formula>AND(AD$9&gt;=14/24,AD$9&lt;20/24)</formula>
    </cfRule>
    <cfRule type="expression" dxfId="1932" priority="99">
      <formula>AND(AD$9&gt;=8/24,AD$9&lt;14/24)</formula>
    </cfRule>
    <cfRule type="expression" dxfId="1931" priority="100">
      <formula>AD$9&lt;8/24</formula>
    </cfRule>
  </conditionalFormatting>
  <conditionalFormatting sqref="AE61:AF66">
    <cfRule type="expression" dxfId="1930" priority="6">
      <formula>AE$9&gt;=20/24</formula>
    </cfRule>
    <cfRule type="expression" dxfId="1929" priority="7">
      <formula>AND(AE$9&gt;=14/24,AE$9&lt;20/24)</formula>
    </cfRule>
    <cfRule type="expression" dxfId="1928" priority="8">
      <formula>AND(AE$9&gt;=8/24,AE$9&lt;14/24)</formula>
    </cfRule>
    <cfRule type="expression" dxfId="1927" priority="9">
      <formula>AE$9&lt;8/24</formula>
    </cfRule>
  </conditionalFormatting>
  <conditionalFormatting sqref="AG50">
    <cfRule type="expression" dxfId="1926" priority="84">
      <formula>AG50&gt;$AG50</formula>
    </cfRule>
  </conditionalFormatting>
  <conditionalFormatting sqref="AG89">
    <cfRule type="expression" dxfId="1925" priority="85">
      <formula>AG$9&gt;=20/24</formula>
    </cfRule>
    <cfRule type="expression" dxfId="1924" priority="86">
      <formula>AND(AG$9&gt;=14/24,AG$9&lt;20/24)</formula>
    </cfRule>
    <cfRule type="expression" dxfId="1923" priority="87">
      <formula>AND(AG$9&gt;=8/24,AG$9&lt;14/24)</formula>
    </cfRule>
    <cfRule type="expression" dxfId="1922" priority="88">
      <formula>AG$9&lt;8/24</formula>
    </cfRule>
  </conditionalFormatting>
  <conditionalFormatting sqref="AG248">
    <cfRule type="expression" dxfId="1921" priority="118">
      <formula>B$9&gt;=20/24</formula>
    </cfRule>
    <cfRule type="expression" dxfId="1920" priority="119">
      <formula>AND(B$9&gt;=14/24,B$9&lt;20/24)</formula>
    </cfRule>
    <cfRule type="expression" dxfId="1919" priority="120">
      <formula>AND(B$9&gt;=8/24,B$9&lt;14/24)</formula>
    </cfRule>
    <cfRule type="expression" dxfId="1918" priority="121">
      <formula>B$9&lt;8/24</formula>
    </cfRule>
  </conditionalFormatting>
  <conditionalFormatting sqref="AH248:AX248">
    <cfRule type="expression" dxfId="1917" priority="122">
      <formula>AG$9&gt;=20/24</formula>
    </cfRule>
    <cfRule type="expression" dxfId="1916" priority="123">
      <formula>AND(AG$9&gt;=14/24,AG$9&lt;20/24)</formula>
    </cfRule>
    <cfRule type="expression" dxfId="1915" priority="124">
      <formula>AND(AG$9&gt;=8/24,AG$9&lt;14/24)</formula>
    </cfRule>
    <cfRule type="expression" dxfId="1914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913" priority="131">
      <formula>AJ$9&gt;=20/24</formula>
    </cfRule>
    <cfRule type="expression" dxfId="1912" priority="132">
      <formula>AND(AJ$9&gt;=14/24,AJ$9&lt;20/24)</formula>
    </cfRule>
    <cfRule type="expression" dxfId="1911" priority="133">
      <formula>AND(AJ$9&gt;=8/24,AJ$9&lt;14/24)</formula>
    </cfRule>
    <cfRule type="expression" dxfId="1910" priority="134">
      <formula>AJ$9&lt;8/24</formula>
    </cfRule>
  </conditionalFormatting>
  <conditionalFormatting sqref="AL80:AN80 AL86:AN86">
    <cfRule type="expression" dxfId="1909" priority="72">
      <formula>AL$9&gt;=20/24</formula>
    </cfRule>
    <cfRule type="expression" dxfId="1908" priority="73">
      <formula>AND(AL$9&gt;=14/24,AL$9&lt;20/24)</formula>
    </cfRule>
    <cfRule type="expression" dxfId="1907" priority="74">
      <formula>AND(AL$9&gt;=8/24,AL$9&lt;14/24)</formula>
    </cfRule>
    <cfRule type="expression" dxfId="1906" priority="75">
      <formula>AL$9&lt;8/24</formula>
    </cfRule>
  </conditionalFormatting>
  <conditionalFormatting sqref="AN81:AN84">
    <cfRule type="expression" dxfId="1905" priority="68">
      <formula>AN$9&gt;=20/24</formula>
    </cfRule>
    <cfRule type="expression" dxfId="1904" priority="69">
      <formula>AND(AN$9&gt;=14/24,AN$9&lt;20/24)</formula>
    </cfRule>
    <cfRule type="expression" dxfId="1903" priority="70">
      <formula>AND(AN$9&gt;=8/24,AN$9&lt;14/24)</formula>
    </cfRule>
    <cfRule type="expression" dxfId="1902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30592-5670-460C-BFA8-6C048FA58D95}">
  <sheetPr codeName="Sheet41"/>
  <dimension ref="A1:CJ307"/>
  <sheetViews>
    <sheetView zoomScaleNormal="100" workbookViewId="0">
      <pane xSplit="1" ySplit="10" topLeftCell="H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2080/06/17</v>
      </c>
      <c r="C4" s="201"/>
      <c r="D4" s="201"/>
      <c r="E4" s="202" t="str">
        <f ca="1">"2080/"&amp;"06/"&amp;INT(MID(CELL("filename",G6),FIND("]",CELL("filename",G6))+1,200))</f>
        <v>2080/06/17</v>
      </c>
      <c r="F4" s="202"/>
      <c r="G4" s="202"/>
      <c r="H4" s="202" t="str">
        <f ca="1">TEXT(E4,"dddd")</f>
        <v>Monday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6.5</v>
      </c>
      <c r="Y5" s="30">
        <f t="shared" si="0"/>
        <v>23.6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2158MW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Load=1931</v>
      </c>
      <c r="B7" s="35">
        <f t="shared" ref="B7:AF7" si="1">B91</f>
        <v>2050.2400000000002</v>
      </c>
      <c r="C7" s="35">
        <f t="shared" si="1"/>
        <v>2056.84</v>
      </c>
      <c r="D7" s="35">
        <f t="shared" si="1"/>
        <v>2008.74</v>
      </c>
      <c r="E7" s="35">
        <f t="shared" si="1"/>
        <v>2019.5400000000002</v>
      </c>
      <c r="F7" s="35">
        <f t="shared" si="1"/>
        <v>2024.3400000000001</v>
      </c>
      <c r="G7" s="35">
        <f t="shared" si="1"/>
        <v>2004.3400000000001</v>
      </c>
      <c r="H7" s="35">
        <f t="shared" si="1"/>
        <v>2050.6400000000003</v>
      </c>
      <c r="I7" s="35">
        <f t="shared" si="1"/>
        <v>2034.44</v>
      </c>
      <c r="J7" s="35">
        <f t="shared" si="1"/>
        <v>2032.04</v>
      </c>
      <c r="K7" s="35">
        <f t="shared" si="1"/>
        <v>2074.04</v>
      </c>
      <c r="L7" s="35">
        <f t="shared" si="1"/>
        <v>2158.34</v>
      </c>
      <c r="M7" s="35">
        <f t="shared" si="1"/>
        <v>2124.6400000000003</v>
      </c>
      <c r="N7" s="35">
        <f>N91</f>
        <v>2124.6400000000003</v>
      </c>
      <c r="O7" s="35">
        <f t="shared" si="1"/>
        <v>2107.6400000000003</v>
      </c>
      <c r="P7" s="35">
        <f t="shared" si="1"/>
        <v>2122.6400000000003</v>
      </c>
      <c r="Q7" s="35">
        <f t="shared" si="1"/>
        <v>2122.6400000000003</v>
      </c>
      <c r="R7" s="35">
        <f t="shared" si="1"/>
        <v>2085.6400000000003</v>
      </c>
      <c r="S7" s="35">
        <f t="shared" si="1"/>
        <v>2050.5700000000002</v>
      </c>
      <c r="T7" s="35">
        <f t="shared" si="1"/>
        <v>2011.54</v>
      </c>
      <c r="U7" s="35">
        <f t="shared" si="1"/>
        <v>2004.94</v>
      </c>
      <c r="V7" s="35">
        <f t="shared" si="1"/>
        <v>2047.24</v>
      </c>
      <c r="W7" s="35">
        <f t="shared" si="1"/>
        <v>2075.34</v>
      </c>
      <c r="X7" s="35">
        <f t="shared" si="1"/>
        <v>2127.54</v>
      </c>
      <c r="Y7" s="35">
        <f t="shared" si="1"/>
        <v>2186.67</v>
      </c>
      <c r="Z7" s="35">
        <f t="shared" si="1"/>
        <v>2185.5700000000002</v>
      </c>
      <c r="AA7" s="35">
        <f t="shared" si="1"/>
        <v>2128.27</v>
      </c>
      <c r="AB7" s="35">
        <f t="shared" si="1"/>
        <v>2015.7399999999998</v>
      </c>
      <c r="AC7" s="35">
        <f t="shared" si="1"/>
        <v>1994.04</v>
      </c>
      <c r="AD7" s="35">
        <f t="shared" si="1"/>
        <v>1994.04</v>
      </c>
      <c r="AE7" s="35">
        <f t="shared" si="1"/>
        <v>1969.8400000000001</v>
      </c>
      <c r="AF7" s="35">
        <f t="shared" si="1"/>
        <v>1930.8400000000001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90.3</v>
      </c>
      <c r="C11" s="45">
        <v>90.3</v>
      </c>
      <c r="D11" s="45">
        <v>90.3</v>
      </c>
      <c r="E11" s="45">
        <v>90.3</v>
      </c>
      <c r="F11" s="45">
        <v>90.3</v>
      </c>
      <c r="G11" s="45">
        <v>90.3</v>
      </c>
      <c r="H11" s="45">
        <v>90.3</v>
      </c>
      <c r="I11" s="45">
        <v>90.3</v>
      </c>
      <c r="J11" s="45">
        <v>90.3</v>
      </c>
      <c r="K11" s="45">
        <v>90.3</v>
      </c>
      <c r="L11" s="45">
        <v>90.3</v>
      </c>
      <c r="M11" s="45">
        <v>90.3</v>
      </c>
      <c r="N11" s="45">
        <v>90.3</v>
      </c>
      <c r="O11" s="45">
        <v>90.3</v>
      </c>
      <c r="P11" s="45">
        <v>90.3</v>
      </c>
      <c r="Q11" s="45">
        <v>90.3</v>
      </c>
      <c r="R11" s="45">
        <v>90.3</v>
      </c>
      <c r="S11" s="45">
        <v>90.3</v>
      </c>
      <c r="T11" s="45">
        <v>90.3</v>
      </c>
      <c r="U11" s="45">
        <v>90.3</v>
      </c>
      <c r="V11" s="45">
        <v>90.3</v>
      </c>
      <c r="W11" s="45">
        <v>90.3</v>
      </c>
      <c r="X11" s="45">
        <v>90.3</v>
      </c>
      <c r="Y11" s="45">
        <v>90.43</v>
      </c>
      <c r="Z11" s="45">
        <v>90.43</v>
      </c>
      <c r="AA11" s="45">
        <v>90.43</v>
      </c>
      <c r="AB11" s="45">
        <v>90.3</v>
      </c>
      <c r="AC11" s="45">
        <v>90.3</v>
      </c>
      <c r="AD11" s="45">
        <v>90.3</v>
      </c>
      <c r="AE11" s="45">
        <v>90.3</v>
      </c>
      <c r="AF11" s="45">
        <v>86.5</v>
      </c>
      <c r="AG11" s="46">
        <v>86</v>
      </c>
      <c r="AH11" s="47">
        <f t="shared" ref="AH11:AH76" si="2">MAX(B11:AF11)</f>
        <v>90.43</v>
      </c>
      <c r="AI11" s="48">
        <f t="shared" ref="AI11:AI76" si="3">MIN(B11:AF11)</f>
        <v>86.5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8.5</v>
      </c>
      <c r="C12" s="45">
        <v>8.5</v>
      </c>
      <c r="D12" s="45">
        <v>0</v>
      </c>
      <c r="E12" s="45">
        <v>0</v>
      </c>
      <c r="F12" s="45">
        <v>0</v>
      </c>
      <c r="G12" s="45">
        <v>0</v>
      </c>
      <c r="H12" s="45">
        <v>9</v>
      </c>
      <c r="I12" s="45">
        <v>9</v>
      </c>
      <c r="J12" s="45">
        <v>13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/>
      <c r="V12" s="45"/>
      <c r="W12" s="45"/>
      <c r="X12" s="45"/>
      <c r="Y12" s="45">
        <v>13.7</v>
      </c>
      <c r="Z12" s="45">
        <v>13.7</v>
      </c>
      <c r="AA12" s="45">
        <v>13.7</v>
      </c>
      <c r="AB12" s="45">
        <v>13.7</v>
      </c>
      <c r="AC12" s="45">
        <v>0</v>
      </c>
      <c r="AD12" s="45">
        <v>0</v>
      </c>
      <c r="AE12" s="45">
        <v>0</v>
      </c>
      <c r="AF12" s="45">
        <v>0</v>
      </c>
      <c r="AG12" s="49">
        <v>54</v>
      </c>
      <c r="AH12" s="47">
        <f t="shared" si="2"/>
        <v>13.7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54.5</v>
      </c>
      <c r="C13" s="45">
        <v>54.5</v>
      </c>
      <c r="D13" s="45">
        <v>54.5</v>
      </c>
      <c r="E13" s="45">
        <v>54.5</v>
      </c>
      <c r="F13" s="45">
        <v>54.5</v>
      </c>
      <c r="G13" s="45">
        <v>54.5</v>
      </c>
      <c r="H13" s="45">
        <v>54.5</v>
      </c>
      <c r="I13" s="45">
        <v>54.5</v>
      </c>
      <c r="J13" s="45">
        <v>54.5</v>
      </c>
      <c r="K13" s="45">
        <v>54.5</v>
      </c>
      <c r="L13" s="45">
        <v>54.5</v>
      </c>
      <c r="M13" s="45">
        <v>54.5</v>
      </c>
      <c r="N13" s="45">
        <v>54.5</v>
      </c>
      <c r="O13" s="45">
        <v>54.5</v>
      </c>
      <c r="P13" s="45">
        <v>54.5</v>
      </c>
      <c r="Q13" s="45">
        <v>54.5</v>
      </c>
      <c r="R13" s="45">
        <v>54.5</v>
      </c>
      <c r="S13" s="45">
        <v>54.5</v>
      </c>
      <c r="T13" s="45">
        <v>54.5</v>
      </c>
      <c r="U13" s="45">
        <v>54.5</v>
      </c>
      <c r="V13" s="45">
        <v>54.5</v>
      </c>
      <c r="W13" s="45">
        <v>54.5</v>
      </c>
      <c r="X13" s="45">
        <v>54.5</v>
      </c>
      <c r="Y13" s="45">
        <v>54.5</v>
      </c>
      <c r="Z13" s="45">
        <v>54.5</v>
      </c>
      <c r="AA13" s="45">
        <v>54.5</v>
      </c>
      <c r="AB13" s="45">
        <v>54.5</v>
      </c>
      <c r="AC13" s="45">
        <v>54.5</v>
      </c>
      <c r="AD13" s="45">
        <v>54.5</v>
      </c>
      <c r="AE13" s="45">
        <v>54.5</v>
      </c>
      <c r="AF13" s="45">
        <v>52.5</v>
      </c>
      <c r="AG13" s="46">
        <v>52.4</v>
      </c>
      <c r="AH13" s="47">
        <f t="shared" si="2"/>
        <v>54.5</v>
      </c>
      <c r="AI13" s="48">
        <f t="shared" si="3"/>
        <v>52.5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50.3</v>
      </c>
      <c r="AD14" s="58">
        <v>50.3</v>
      </c>
      <c r="AE14" s="58">
        <v>50.3</v>
      </c>
      <c r="AF14" s="58">
        <v>50.3</v>
      </c>
      <c r="AG14" s="49">
        <v>50</v>
      </c>
      <c r="AH14" s="47">
        <f t="shared" si="2"/>
        <v>50.4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46.3</v>
      </c>
      <c r="C15" s="45">
        <v>46.3</v>
      </c>
      <c r="D15" s="45">
        <v>46.3</v>
      </c>
      <c r="E15" s="45">
        <v>46.3</v>
      </c>
      <c r="F15" s="45">
        <v>46.3</v>
      </c>
      <c r="G15" s="45">
        <v>46.3</v>
      </c>
      <c r="H15" s="45">
        <v>46.3</v>
      </c>
      <c r="I15" s="45">
        <v>46.3</v>
      </c>
      <c r="J15" s="45">
        <v>46.3</v>
      </c>
      <c r="K15" s="45">
        <v>46.3</v>
      </c>
      <c r="L15" s="45">
        <v>46.3</v>
      </c>
      <c r="M15" s="45">
        <v>46.3</v>
      </c>
      <c r="N15" s="45">
        <v>46.3</v>
      </c>
      <c r="O15" s="45">
        <v>46.3</v>
      </c>
      <c r="P15" s="45">
        <v>46.3</v>
      </c>
      <c r="Q15" s="45">
        <v>46.3</v>
      </c>
      <c r="R15" s="45">
        <v>46.3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46.2</v>
      </c>
      <c r="AD15" s="45">
        <v>46.2</v>
      </c>
      <c r="AE15" s="45">
        <v>46.2</v>
      </c>
      <c r="AF15" s="45">
        <v>37.299999999999997</v>
      </c>
      <c r="AG15" s="49">
        <v>45</v>
      </c>
      <c r="AH15" s="47">
        <f t="shared" si="2"/>
        <v>46.3</v>
      </c>
      <c r="AI15" s="48">
        <f t="shared" si="3"/>
        <v>37.299999999999997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27</v>
      </c>
      <c r="C17" s="45">
        <v>27</v>
      </c>
      <c r="D17" s="45">
        <v>27</v>
      </c>
      <c r="E17" s="45">
        <v>27</v>
      </c>
      <c r="F17" s="45">
        <v>27</v>
      </c>
      <c r="G17" s="45">
        <v>27</v>
      </c>
      <c r="H17" s="45">
        <v>27</v>
      </c>
      <c r="I17" s="45">
        <v>27</v>
      </c>
      <c r="J17" s="45">
        <v>27</v>
      </c>
      <c r="K17" s="45">
        <v>27</v>
      </c>
      <c r="L17" s="45">
        <v>35</v>
      </c>
      <c r="M17" s="45">
        <v>35</v>
      </c>
      <c r="N17" s="45">
        <v>35</v>
      </c>
      <c r="O17" s="45">
        <v>35</v>
      </c>
      <c r="P17" s="45">
        <v>35</v>
      </c>
      <c r="Q17" s="45">
        <v>35</v>
      </c>
      <c r="R17" s="45">
        <v>0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29</v>
      </c>
      <c r="Y17" s="45">
        <v>29</v>
      </c>
      <c r="Z17" s="45">
        <v>29</v>
      </c>
      <c r="AA17" s="45">
        <v>29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35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0</v>
      </c>
      <c r="U19" s="45">
        <v>0</v>
      </c>
      <c r="V19" s="45">
        <v>0</v>
      </c>
      <c r="W19" s="45">
        <v>0</v>
      </c>
      <c r="X19" s="45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0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0</v>
      </c>
      <c r="E20" s="45">
        <v>0</v>
      </c>
      <c r="F20" s="45">
        <v>0</v>
      </c>
      <c r="G20" s="45">
        <v>0</v>
      </c>
      <c r="H20" s="45">
        <v>5</v>
      </c>
      <c r="I20" s="45">
        <v>5</v>
      </c>
      <c r="J20" s="45">
        <v>15</v>
      </c>
      <c r="K20" s="45">
        <v>30</v>
      </c>
      <c r="L20" s="45">
        <v>30</v>
      </c>
      <c r="M20" s="45">
        <v>30</v>
      </c>
      <c r="N20" s="45">
        <v>30</v>
      </c>
      <c r="O20" s="45">
        <v>25</v>
      </c>
      <c r="P20" s="45">
        <v>25</v>
      </c>
      <c r="Q20" s="45">
        <v>25</v>
      </c>
      <c r="R20" s="45">
        <v>30</v>
      </c>
      <c r="S20" s="45">
        <v>15.3</v>
      </c>
      <c r="T20" s="45">
        <v>15.3</v>
      </c>
      <c r="U20" s="45">
        <v>30.2</v>
      </c>
      <c r="V20" s="45">
        <v>30.2</v>
      </c>
      <c r="W20" s="45">
        <v>30.2</v>
      </c>
      <c r="X20" s="45">
        <v>30.2</v>
      </c>
      <c r="Y20" s="45">
        <v>29.8</v>
      </c>
      <c r="Z20" s="45">
        <v>29.8</v>
      </c>
      <c r="AA20" s="45">
        <v>29.8</v>
      </c>
      <c r="AB20" s="45">
        <v>15</v>
      </c>
      <c r="AC20" s="45">
        <v>10.8</v>
      </c>
      <c r="AD20" s="45">
        <v>10.8</v>
      </c>
      <c r="AE20" s="45">
        <v>5</v>
      </c>
      <c r="AF20" s="45">
        <v>0</v>
      </c>
      <c r="AG20" s="51">
        <v>30</v>
      </c>
      <c r="AH20" s="47">
        <f t="shared" si="2"/>
        <v>30.2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</v>
      </c>
      <c r="C21" s="45">
        <v>33</v>
      </c>
      <c r="D21" s="45">
        <v>33</v>
      </c>
      <c r="E21" s="45">
        <v>33</v>
      </c>
      <c r="F21" s="45">
        <v>33</v>
      </c>
      <c r="G21" s="45">
        <v>33</v>
      </c>
      <c r="H21" s="45">
        <v>33</v>
      </c>
      <c r="I21" s="45">
        <v>33</v>
      </c>
      <c r="J21" s="45">
        <v>33</v>
      </c>
      <c r="K21" s="45">
        <v>33</v>
      </c>
      <c r="L21" s="45">
        <v>33</v>
      </c>
      <c r="M21" s="45">
        <v>33</v>
      </c>
      <c r="N21" s="45">
        <v>33</v>
      </c>
      <c r="O21" s="45">
        <v>33</v>
      </c>
      <c r="P21" s="45">
        <v>33</v>
      </c>
      <c r="Q21" s="45">
        <v>33</v>
      </c>
      <c r="R21" s="45">
        <v>33</v>
      </c>
      <c r="S21" s="45">
        <v>33</v>
      </c>
      <c r="T21" s="45">
        <v>33</v>
      </c>
      <c r="U21" s="45">
        <v>33</v>
      </c>
      <c r="V21" s="45">
        <v>33</v>
      </c>
      <c r="W21" s="45">
        <v>33</v>
      </c>
      <c r="X21" s="45">
        <v>33</v>
      </c>
      <c r="Y21" s="45">
        <v>33</v>
      </c>
      <c r="Z21" s="45">
        <v>33</v>
      </c>
      <c r="AA21" s="45">
        <v>33</v>
      </c>
      <c r="AB21" s="45">
        <v>33</v>
      </c>
      <c r="AC21" s="45">
        <v>33</v>
      </c>
      <c r="AD21" s="45">
        <v>33</v>
      </c>
      <c r="AE21" s="45">
        <v>33</v>
      </c>
      <c r="AF21" s="45">
        <v>25.7</v>
      </c>
      <c r="AG21" s="49">
        <v>24.2</v>
      </c>
      <c r="AH21" s="47">
        <f t="shared" si="2"/>
        <v>33</v>
      </c>
      <c r="AI21" s="48">
        <f t="shared" si="3"/>
        <v>25.7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4.5</v>
      </c>
      <c r="C23" s="45">
        <v>4.5</v>
      </c>
      <c r="D23" s="45">
        <v>0</v>
      </c>
      <c r="E23" s="45">
        <v>0</v>
      </c>
      <c r="F23" s="45">
        <v>0</v>
      </c>
      <c r="G23" s="45">
        <v>0</v>
      </c>
      <c r="H23" s="45">
        <v>4.5</v>
      </c>
      <c r="I23" s="45">
        <v>4.5</v>
      </c>
      <c r="J23" s="45">
        <v>13.5</v>
      </c>
      <c r="K23" s="45">
        <v>27</v>
      </c>
      <c r="L23" s="45">
        <v>27</v>
      </c>
      <c r="M23" s="45">
        <v>27</v>
      </c>
      <c r="N23" s="45">
        <v>27</v>
      </c>
      <c r="O23" s="45">
        <v>25</v>
      </c>
      <c r="P23" s="45">
        <v>25</v>
      </c>
      <c r="Q23" s="45">
        <v>25</v>
      </c>
      <c r="R23" s="45">
        <v>25</v>
      </c>
      <c r="S23" s="45">
        <v>9</v>
      </c>
      <c r="T23" s="45">
        <v>13.5</v>
      </c>
      <c r="U23" s="45">
        <v>13.5</v>
      </c>
      <c r="V23" s="45">
        <v>27</v>
      </c>
      <c r="W23" s="45">
        <v>27</v>
      </c>
      <c r="X23" s="45">
        <v>27</v>
      </c>
      <c r="Y23" s="45">
        <v>27</v>
      </c>
      <c r="Z23" s="45">
        <v>27</v>
      </c>
      <c r="AA23" s="45">
        <v>27</v>
      </c>
      <c r="AB23" s="45">
        <v>14</v>
      </c>
      <c r="AC23" s="45">
        <v>10</v>
      </c>
      <c r="AD23" s="45">
        <v>10</v>
      </c>
      <c r="AE23" s="45">
        <v>5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26.3</v>
      </c>
      <c r="C24" s="45">
        <v>26.3</v>
      </c>
      <c r="D24" s="45">
        <v>26.3</v>
      </c>
      <c r="E24" s="45">
        <v>26.3</v>
      </c>
      <c r="F24" s="45">
        <v>26.3</v>
      </c>
      <c r="G24" s="45">
        <v>26.3</v>
      </c>
      <c r="H24" s="45">
        <v>26.3</v>
      </c>
      <c r="I24" s="45">
        <v>26.3</v>
      </c>
      <c r="J24" s="45">
        <v>26.3</v>
      </c>
      <c r="K24" s="45">
        <v>26.3</v>
      </c>
      <c r="L24" s="45">
        <v>26.3</v>
      </c>
      <c r="M24" s="45">
        <v>26.3</v>
      </c>
      <c r="N24" s="45">
        <v>26.3</v>
      </c>
      <c r="O24" s="45">
        <v>26.3</v>
      </c>
      <c r="P24" s="45">
        <v>26.3</v>
      </c>
      <c r="Q24" s="45">
        <v>26.3</v>
      </c>
      <c r="R24" s="45">
        <v>26.3</v>
      </c>
      <c r="S24" s="45">
        <v>26.3</v>
      </c>
      <c r="T24" s="45">
        <v>26.3</v>
      </c>
      <c r="U24" s="45">
        <v>26.3</v>
      </c>
      <c r="V24" s="45">
        <v>26.3</v>
      </c>
      <c r="W24" s="45">
        <v>26.3</v>
      </c>
      <c r="X24" s="45">
        <v>26.3</v>
      </c>
      <c r="Y24" s="45">
        <v>26.3</v>
      </c>
      <c r="Z24" s="45">
        <v>26.3</v>
      </c>
      <c r="AA24" s="45">
        <v>26.3</v>
      </c>
      <c r="AB24" s="45">
        <v>24</v>
      </c>
      <c r="AC24" s="45">
        <v>24</v>
      </c>
      <c r="AD24" s="45">
        <v>24</v>
      </c>
      <c r="AE24" s="45">
        <v>24</v>
      </c>
      <c r="AF24" s="45">
        <v>24</v>
      </c>
      <c r="AG24" s="49">
        <v>25</v>
      </c>
      <c r="AH24" s="47">
        <f t="shared" si="2"/>
        <v>26.3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4.5</v>
      </c>
      <c r="C27" s="45">
        <v>4.5</v>
      </c>
      <c r="D27" s="45">
        <v>0</v>
      </c>
      <c r="E27" s="45">
        <v>0</v>
      </c>
      <c r="F27" s="45">
        <v>0</v>
      </c>
      <c r="G27" s="45">
        <v>0</v>
      </c>
      <c r="H27" s="45">
        <v>4.5</v>
      </c>
      <c r="I27" s="45">
        <v>4.5</v>
      </c>
      <c r="J27" s="45">
        <v>12.5</v>
      </c>
      <c r="K27" s="45">
        <v>25</v>
      </c>
      <c r="L27" s="45">
        <v>25</v>
      </c>
      <c r="M27" s="45">
        <v>25</v>
      </c>
      <c r="N27" s="45">
        <v>25</v>
      </c>
      <c r="O27" s="45">
        <v>15</v>
      </c>
      <c r="P27" s="45">
        <v>15</v>
      </c>
      <c r="Q27" s="45">
        <v>15</v>
      </c>
      <c r="R27" s="45">
        <v>20</v>
      </c>
      <c r="S27" s="45">
        <v>20</v>
      </c>
      <c r="T27" s="45">
        <v>12.5</v>
      </c>
      <c r="U27" s="45">
        <v>12.5</v>
      </c>
      <c r="V27" s="45">
        <v>25</v>
      </c>
      <c r="W27" s="45">
        <v>25</v>
      </c>
      <c r="X27" s="45">
        <v>20</v>
      </c>
      <c r="Y27" s="45">
        <v>20</v>
      </c>
      <c r="Z27" s="45">
        <v>20</v>
      </c>
      <c r="AA27" s="45">
        <v>20</v>
      </c>
      <c r="AB27" s="45">
        <v>13</v>
      </c>
      <c r="AC27" s="45">
        <v>7</v>
      </c>
      <c r="AD27" s="45">
        <v>7</v>
      </c>
      <c r="AE27" s="45">
        <v>4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</v>
      </c>
      <c r="C28" s="45">
        <v>25</v>
      </c>
      <c r="D28" s="45">
        <v>25</v>
      </c>
      <c r="E28" s="45">
        <v>25</v>
      </c>
      <c r="F28" s="45">
        <v>25</v>
      </c>
      <c r="G28" s="45">
        <v>25</v>
      </c>
      <c r="H28" s="45">
        <v>25</v>
      </c>
      <c r="I28" s="45">
        <v>25</v>
      </c>
      <c r="J28" s="45">
        <v>25</v>
      </c>
      <c r="K28" s="45">
        <v>25</v>
      </c>
      <c r="L28" s="45">
        <v>25</v>
      </c>
      <c r="M28" s="45">
        <v>25</v>
      </c>
      <c r="N28" s="45">
        <v>25</v>
      </c>
      <c r="O28" s="45">
        <v>25</v>
      </c>
      <c r="P28" s="45">
        <v>25</v>
      </c>
      <c r="Q28" s="45">
        <v>25</v>
      </c>
      <c r="R28" s="45">
        <v>25</v>
      </c>
      <c r="S28" s="45">
        <v>25</v>
      </c>
      <c r="T28" s="45">
        <v>25</v>
      </c>
      <c r="U28" s="45">
        <v>25</v>
      </c>
      <c r="V28" s="45">
        <v>25</v>
      </c>
      <c r="W28" s="45">
        <v>25</v>
      </c>
      <c r="X28" s="45">
        <v>25</v>
      </c>
      <c r="Y28" s="45">
        <v>25</v>
      </c>
      <c r="Z28" s="45">
        <v>25</v>
      </c>
      <c r="AA28" s="45">
        <v>25</v>
      </c>
      <c r="AB28" s="45">
        <v>18.3</v>
      </c>
      <c r="AC28" s="45">
        <v>18.3</v>
      </c>
      <c r="AD28" s="45">
        <v>18.3</v>
      </c>
      <c r="AE28" s="45">
        <v>18.3</v>
      </c>
      <c r="AF28" s="45">
        <v>18.3</v>
      </c>
      <c r="AG28" s="49">
        <v>23.5</v>
      </c>
      <c r="AH28" s="47">
        <f t="shared" si="2"/>
        <v>25</v>
      </c>
      <c r="AI28" s="48">
        <f t="shared" si="3"/>
        <v>18.3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0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4</v>
      </c>
      <c r="C33" s="45">
        <v>4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4</v>
      </c>
      <c r="J33" s="45">
        <v>6</v>
      </c>
      <c r="K33" s="45">
        <v>10</v>
      </c>
      <c r="L33" s="45">
        <v>12</v>
      </c>
      <c r="M33" s="45">
        <v>12</v>
      </c>
      <c r="N33" s="45">
        <v>12</v>
      </c>
      <c r="O33" s="45">
        <v>12</v>
      </c>
      <c r="P33" s="45">
        <v>12</v>
      </c>
      <c r="Q33" s="45">
        <v>12</v>
      </c>
      <c r="R33" s="45">
        <v>5</v>
      </c>
      <c r="S33" s="45">
        <v>5</v>
      </c>
      <c r="T33" s="45">
        <v>5</v>
      </c>
      <c r="U33" s="45">
        <v>5</v>
      </c>
      <c r="V33" s="45">
        <v>5</v>
      </c>
      <c r="W33" s="45">
        <v>5</v>
      </c>
      <c r="X33" s="45">
        <v>5</v>
      </c>
      <c r="Y33" s="45">
        <v>8</v>
      </c>
      <c r="Z33" s="45">
        <v>8</v>
      </c>
      <c r="AA33" s="45">
        <v>8</v>
      </c>
      <c r="AB33" s="45">
        <v>5</v>
      </c>
      <c r="AC33" s="45">
        <v>5</v>
      </c>
      <c r="AD33" s="45">
        <v>5</v>
      </c>
      <c r="AE33" s="45">
        <v>0</v>
      </c>
      <c r="AF33" s="45">
        <v>0</v>
      </c>
      <c r="AG33" s="49">
        <v>20</v>
      </c>
      <c r="AH33" s="47">
        <f t="shared" si="2"/>
        <v>12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3.5</v>
      </c>
      <c r="J34" s="45">
        <v>5</v>
      </c>
      <c r="K34" s="45">
        <v>9</v>
      </c>
      <c r="L34" s="45">
        <v>9</v>
      </c>
      <c r="M34" s="45">
        <v>9</v>
      </c>
      <c r="N34" s="45">
        <v>9</v>
      </c>
      <c r="O34" s="45">
        <v>9</v>
      </c>
      <c r="P34" s="45">
        <v>9</v>
      </c>
      <c r="Q34" s="45">
        <v>9</v>
      </c>
      <c r="R34" s="45">
        <v>4</v>
      </c>
      <c r="S34" s="45">
        <v>4</v>
      </c>
      <c r="T34" s="45">
        <v>4</v>
      </c>
      <c r="U34" s="45">
        <v>4</v>
      </c>
      <c r="V34" s="45">
        <v>4</v>
      </c>
      <c r="W34" s="45">
        <v>4</v>
      </c>
      <c r="X34" s="45">
        <v>4</v>
      </c>
      <c r="Y34" s="45">
        <v>9</v>
      </c>
      <c r="Z34" s="45">
        <v>9</v>
      </c>
      <c r="AA34" s="45">
        <v>9</v>
      </c>
      <c r="AB34" s="45">
        <v>5</v>
      </c>
      <c r="AC34" s="45">
        <v>5</v>
      </c>
      <c r="AD34" s="45">
        <v>5</v>
      </c>
      <c r="AE34" s="45">
        <v>0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 t="s">
        <v>262</v>
      </c>
      <c r="J35" s="45" t="s">
        <v>262</v>
      </c>
      <c r="K35" s="45" t="s">
        <v>262</v>
      </c>
      <c r="L35" s="45" t="s">
        <v>262</v>
      </c>
      <c r="M35" s="45" t="s">
        <v>262</v>
      </c>
      <c r="N35" s="45" t="s">
        <v>262</v>
      </c>
      <c r="O35" s="45" t="s">
        <v>262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0</v>
      </c>
      <c r="C37" s="45">
        <v>0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0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45">
        <v>0</v>
      </c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9">
        <v>13.6</v>
      </c>
      <c r="AH37" s="47">
        <f t="shared" si="2"/>
        <v>0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0</v>
      </c>
      <c r="E39" s="45">
        <v>0</v>
      </c>
      <c r="F39" s="45">
        <v>0</v>
      </c>
      <c r="G39" s="45">
        <v>0</v>
      </c>
      <c r="H39" s="45">
        <v>2</v>
      </c>
      <c r="I39" s="45">
        <v>2</v>
      </c>
      <c r="J39" s="45">
        <v>6</v>
      </c>
      <c r="K39" s="45">
        <v>12</v>
      </c>
      <c r="L39" s="45">
        <v>12</v>
      </c>
      <c r="M39" s="45">
        <v>12</v>
      </c>
      <c r="N39" s="45">
        <v>12</v>
      </c>
      <c r="O39" s="45">
        <v>12</v>
      </c>
      <c r="P39" s="45">
        <v>12</v>
      </c>
      <c r="Q39" s="45">
        <v>12</v>
      </c>
      <c r="R39" s="45">
        <v>12</v>
      </c>
      <c r="S39" s="45">
        <v>6</v>
      </c>
      <c r="T39" s="45">
        <v>6</v>
      </c>
      <c r="U39" s="45">
        <v>6</v>
      </c>
      <c r="V39" s="45">
        <v>12</v>
      </c>
      <c r="W39" s="45">
        <v>7</v>
      </c>
      <c r="X39" s="45">
        <v>7</v>
      </c>
      <c r="Y39" s="45">
        <v>7</v>
      </c>
      <c r="Z39" s="45">
        <v>7</v>
      </c>
      <c r="AA39" s="45">
        <v>7</v>
      </c>
      <c r="AB39" s="45">
        <v>6</v>
      </c>
      <c r="AC39" s="45">
        <v>3</v>
      </c>
      <c r="AD39" s="45">
        <v>3</v>
      </c>
      <c r="AE39" s="45">
        <v>3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10</v>
      </c>
      <c r="N46" s="45">
        <v>10</v>
      </c>
      <c r="O46" s="45">
        <v>10</v>
      </c>
      <c r="P46" s="45">
        <v>10</v>
      </c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10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132.19999999999999</v>
      </c>
      <c r="C49" s="56">
        <v>8</v>
      </c>
      <c r="D49" s="56">
        <v>128.5</v>
      </c>
      <c r="E49" s="56">
        <f>38.5+96.4</f>
        <v>134.9</v>
      </c>
      <c r="F49" s="56">
        <f>38.3+96.7</f>
        <v>135</v>
      </c>
      <c r="G49" s="56">
        <f>37.9+94.9</f>
        <v>132.80000000000001</v>
      </c>
      <c r="H49" s="56">
        <f>32.7+91.1</f>
        <v>123.8</v>
      </c>
      <c r="I49" s="56">
        <f>32.7+91.1</f>
        <v>123.8</v>
      </c>
      <c r="J49" s="56">
        <f>36.9+93.1</f>
        <v>130</v>
      </c>
      <c r="K49" s="56">
        <f>36.3+92</f>
        <v>128.30000000000001</v>
      </c>
      <c r="L49" s="56">
        <f t="shared" ref="L49:S49" si="4">36.6+93.3</f>
        <v>129.9</v>
      </c>
      <c r="M49" s="56">
        <f t="shared" si="4"/>
        <v>129.9</v>
      </c>
      <c r="N49" s="56">
        <f t="shared" si="4"/>
        <v>129.9</v>
      </c>
      <c r="O49" s="56">
        <f t="shared" si="4"/>
        <v>129.9</v>
      </c>
      <c r="P49" s="56">
        <f t="shared" si="4"/>
        <v>129.9</v>
      </c>
      <c r="Q49" s="56">
        <f t="shared" si="4"/>
        <v>129.9</v>
      </c>
      <c r="R49" s="56">
        <f t="shared" si="4"/>
        <v>129.9</v>
      </c>
      <c r="S49" s="56">
        <f t="shared" si="4"/>
        <v>129.9</v>
      </c>
      <c r="T49" s="56">
        <v>128.80000000000001</v>
      </c>
      <c r="U49" s="56">
        <v>130</v>
      </c>
      <c r="V49" s="56">
        <v>130</v>
      </c>
      <c r="W49" s="56">
        <v>130</v>
      </c>
      <c r="X49" s="56">
        <v>130</v>
      </c>
      <c r="Y49" s="56">
        <v>130</v>
      </c>
      <c r="Z49" s="56">
        <v>130</v>
      </c>
      <c r="AA49" s="56">
        <v>130</v>
      </c>
      <c r="AB49" s="56">
        <f>36.6+93.5</f>
        <v>130.1</v>
      </c>
      <c r="AC49" s="56">
        <f>36.6+93.5</f>
        <v>130.1</v>
      </c>
      <c r="AD49" s="56">
        <f>36.6+93.5</f>
        <v>130.1</v>
      </c>
      <c r="AE49" s="56">
        <f>36.6+93.5</f>
        <v>130.1</v>
      </c>
      <c r="AF49" s="56">
        <f>36.6+93.5</f>
        <v>130.1</v>
      </c>
      <c r="AG49" s="54">
        <v>240</v>
      </c>
      <c r="AH49" s="47">
        <f t="shared" si="2"/>
        <v>135</v>
      </c>
      <c r="AI49" s="48">
        <f t="shared" si="3"/>
        <v>8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1087.9000000000001</v>
      </c>
      <c r="C50" s="60">
        <f t="shared" si="5"/>
        <v>1087.9000000000001</v>
      </c>
      <c r="D50" s="60">
        <f t="shared" si="5"/>
        <v>1059.4000000000001</v>
      </c>
      <c r="E50" s="60">
        <f t="shared" si="5"/>
        <v>1059.4000000000001</v>
      </c>
      <c r="F50" s="60">
        <f t="shared" si="5"/>
        <v>1059.4000000000001</v>
      </c>
      <c r="G50" s="60">
        <f t="shared" si="5"/>
        <v>1059.4000000000001</v>
      </c>
      <c r="H50" s="60">
        <f t="shared" si="5"/>
        <v>1084.4000000000001</v>
      </c>
      <c r="I50" s="60">
        <f t="shared" si="5"/>
        <v>1076.9000000000001</v>
      </c>
      <c r="J50" s="60">
        <f t="shared" si="5"/>
        <v>1115.4000000000001</v>
      </c>
      <c r="K50" s="60">
        <f t="shared" si="5"/>
        <v>1157.4000000000001</v>
      </c>
      <c r="L50" s="60">
        <f t="shared" si="5"/>
        <v>1189.4000000000001</v>
      </c>
      <c r="M50" s="60">
        <f t="shared" si="5"/>
        <v>1189.4000000000001</v>
      </c>
      <c r="N50" s="60">
        <f t="shared" si="5"/>
        <v>1189.4000000000001</v>
      </c>
      <c r="O50" s="60">
        <f t="shared" si="5"/>
        <v>1172.4000000000001</v>
      </c>
      <c r="P50" s="60">
        <f t="shared" si="5"/>
        <v>1187.4000000000001</v>
      </c>
      <c r="Q50" s="60">
        <f t="shared" si="5"/>
        <v>1187.4000000000001</v>
      </c>
      <c r="R50" s="60">
        <f t="shared" si="5"/>
        <v>1150.4000000000001</v>
      </c>
      <c r="S50" s="60">
        <f t="shared" ref="S50:AA50" si="6">SUM(S11:S48)</f>
        <v>1142.7</v>
      </c>
      <c r="T50" s="60">
        <f t="shared" si="6"/>
        <v>1115.7</v>
      </c>
      <c r="U50" s="60">
        <f t="shared" si="6"/>
        <v>1130.5999999999999</v>
      </c>
      <c r="V50" s="60">
        <f t="shared" si="6"/>
        <v>1162.5999999999999</v>
      </c>
      <c r="W50" s="60">
        <f t="shared" si="6"/>
        <v>1157.5999999999999</v>
      </c>
      <c r="X50" s="60">
        <f t="shared" si="6"/>
        <v>1152.5999999999999</v>
      </c>
      <c r="Y50" s="60">
        <f t="shared" si="6"/>
        <v>1174.03</v>
      </c>
      <c r="Z50" s="60">
        <f t="shared" si="6"/>
        <v>1174.03</v>
      </c>
      <c r="AA50" s="60">
        <f t="shared" si="6"/>
        <v>1174.03</v>
      </c>
      <c r="AB50" s="60">
        <f t="shared" si="5"/>
        <v>1122.0999999999999</v>
      </c>
      <c r="AC50" s="60">
        <f t="shared" si="5"/>
        <v>1091</v>
      </c>
      <c r="AD50" s="60">
        <f t="shared" si="5"/>
        <v>1091</v>
      </c>
      <c r="AE50" s="60">
        <f t="shared" si="5"/>
        <v>1067.2</v>
      </c>
      <c r="AF50" s="60">
        <f t="shared" si="5"/>
        <v>1028.2</v>
      </c>
      <c r="AG50" s="61">
        <f>SUM(AG13:AG48)</f>
        <v>922.14</v>
      </c>
      <c r="AH50" s="47">
        <f t="shared" si="2"/>
        <v>1189.4000000000001</v>
      </c>
      <c r="AI50" s="48">
        <f t="shared" si="3"/>
        <v>1028.2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21</v>
      </c>
      <c r="C53" s="66">
        <v>21</v>
      </c>
      <c r="D53" s="66">
        <v>21</v>
      </c>
      <c r="E53" s="66">
        <v>16.399999999999999</v>
      </c>
      <c r="F53" s="66">
        <v>21</v>
      </c>
      <c r="G53" s="66">
        <v>0</v>
      </c>
      <c r="H53" s="66">
        <v>19.899999999999999</v>
      </c>
      <c r="I53" s="66">
        <v>11.1</v>
      </c>
      <c r="J53" s="66">
        <v>0</v>
      </c>
      <c r="K53" s="66">
        <v>0</v>
      </c>
      <c r="L53" s="66">
        <v>20.7</v>
      </c>
      <c r="M53" s="66">
        <v>20.7</v>
      </c>
      <c r="N53" s="66">
        <v>20.7</v>
      </c>
      <c r="O53" s="66">
        <v>20.7</v>
      </c>
      <c r="P53" s="66">
        <v>20.7</v>
      </c>
      <c r="Q53" s="66">
        <v>20.7</v>
      </c>
      <c r="R53" s="66">
        <v>20.7</v>
      </c>
      <c r="S53" s="66">
        <v>20.7</v>
      </c>
      <c r="T53" s="66">
        <v>20.7</v>
      </c>
      <c r="U53" s="66">
        <v>20.7</v>
      </c>
      <c r="V53" s="66">
        <v>9.9</v>
      </c>
      <c r="W53" s="66">
        <v>9.9</v>
      </c>
      <c r="X53" s="66">
        <v>21.7</v>
      </c>
      <c r="Y53" s="66">
        <v>18.100000000000001</v>
      </c>
      <c r="Z53" s="66">
        <v>18.100000000000001</v>
      </c>
      <c r="AA53" s="66">
        <v>18.100000000000001</v>
      </c>
      <c r="AB53" s="66">
        <v>18.100000000000001</v>
      </c>
      <c r="AC53" s="66">
        <v>18.100000000000001</v>
      </c>
      <c r="AD53" s="66">
        <v>18.100000000000001</v>
      </c>
      <c r="AE53" s="66">
        <v>18.100000000000001</v>
      </c>
      <c r="AF53" s="66">
        <v>18.100000000000001</v>
      </c>
      <c r="AG53" s="67">
        <v>22.1</v>
      </c>
      <c r="AH53" s="47">
        <f t="shared" si="2"/>
        <v>21.7</v>
      </c>
      <c r="AI53" s="48">
        <f t="shared" si="3"/>
        <v>0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537</v>
      </c>
      <c r="C54" s="60">
        <f t="shared" si="7"/>
        <v>537</v>
      </c>
      <c r="D54" s="60">
        <f t="shared" si="7"/>
        <v>537</v>
      </c>
      <c r="E54" s="60">
        <f t="shared" si="7"/>
        <v>532.4</v>
      </c>
      <c r="F54" s="60">
        <f t="shared" si="7"/>
        <v>537</v>
      </c>
      <c r="G54" s="60">
        <f t="shared" si="7"/>
        <v>516</v>
      </c>
      <c r="H54" s="60">
        <f t="shared" si="7"/>
        <v>535.9</v>
      </c>
      <c r="I54" s="60">
        <f t="shared" si="7"/>
        <v>527.1</v>
      </c>
      <c r="J54" s="60">
        <f t="shared" si="7"/>
        <v>516</v>
      </c>
      <c r="K54" s="60">
        <f t="shared" si="7"/>
        <v>516</v>
      </c>
      <c r="L54" s="60">
        <f t="shared" si="7"/>
        <v>536.70000000000005</v>
      </c>
      <c r="M54" s="60">
        <f t="shared" si="7"/>
        <v>536.70000000000005</v>
      </c>
      <c r="N54" s="60">
        <f t="shared" si="7"/>
        <v>536.70000000000005</v>
      </c>
      <c r="O54" s="60">
        <f t="shared" si="7"/>
        <v>536.70000000000005</v>
      </c>
      <c r="P54" s="60">
        <f t="shared" si="7"/>
        <v>536.70000000000005</v>
      </c>
      <c r="Q54" s="60">
        <f t="shared" si="7"/>
        <v>536.70000000000005</v>
      </c>
      <c r="R54" s="60">
        <f t="shared" si="7"/>
        <v>536.70000000000005</v>
      </c>
      <c r="S54" s="60">
        <f t="shared" ref="S54:AA54" si="8">SUM(S51:S53)</f>
        <v>536.70000000000005</v>
      </c>
      <c r="T54" s="60">
        <f t="shared" si="8"/>
        <v>536.70000000000005</v>
      </c>
      <c r="U54" s="60">
        <f t="shared" si="8"/>
        <v>536.70000000000005</v>
      </c>
      <c r="V54" s="60">
        <f t="shared" si="8"/>
        <v>525.9</v>
      </c>
      <c r="W54" s="60">
        <f t="shared" si="8"/>
        <v>525.9</v>
      </c>
      <c r="X54" s="60">
        <f t="shared" si="8"/>
        <v>537.70000000000005</v>
      </c>
      <c r="Y54" s="60">
        <f t="shared" si="8"/>
        <v>534.1</v>
      </c>
      <c r="Z54" s="60">
        <f t="shared" si="8"/>
        <v>534.1</v>
      </c>
      <c r="AA54" s="60">
        <f t="shared" si="8"/>
        <v>534.1</v>
      </c>
      <c r="AB54" s="60">
        <f t="shared" si="7"/>
        <v>534.1</v>
      </c>
      <c r="AC54" s="60">
        <f t="shared" si="7"/>
        <v>534.1</v>
      </c>
      <c r="AD54" s="60">
        <f t="shared" si="7"/>
        <v>534.1</v>
      </c>
      <c r="AE54" s="60">
        <f t="shared" si="7"/>
        <v>534.1</v>
      </c>
      <c r="AF54" s="60">
        <f t="shared" si="7"/>
        <v>534.1</v>
      </c>
      <c r="AG54" s="61">
        <f t="shared" si="7"/>
        <v>538.1</v>
      </c>
      <c r="AH54" s="47">
        <f t="shared" si="2"/>
        <v>537.70000000000005</v>
      </c>
      <c r="AI54" s="48">
        <f t="shared" si="3"/>
        <v>516</v>
      </c>
      <c r="AK54" s="50"/>
    </row>
    <row r="55" spans="1:41" x14ac:dyDescent="0.25">
      <c r="A55" s="44" t="s">
        <v>63</v>
      </c>
      <c r="B55" s="45">
        <v>138.5</v>
      </c>
      <c r="C55" s="45">
        <v>139.4</v>
      </c>
      <c r="D55" s="45">
        <v>139.4</v>
      </c>
      <c r="E55" s="45">
        <v>139.19999999999999</v>
      </c>
      <c r="F55" s="45">
        <v>139</v>
      </c>
      <c r="G55" s="45">
        <v>139.30000000000001</v>
      </c>
      <c r="H55" s="45">
        <v>139.4</v>
      </c>
      <c r="I55" s="45">
        <v>139.6</v>
      </c>
      <c r="J55" s="45">
        <v>139.9</v>
      </c>
      <c r="K55" s="45">
        <v>140.19999999999999</v>
      </c>
      <c r="L55" s="45">
        <v>139.80000000000001</v>
      </c>
      <c r="M55" s="45">
        <v>139.80000000000001</v>
      </c>
      <c r="N55" s="45">
        <v>139.80000000000001</v>
      </c>
      <c r="O55" s="45">
        <v>139.80000000000001</v>
      </c>
      <c r="P55" s="45">
        <v>139.80000000000001</v>
      </c>
      <c r="Q55" s="45">
        <v>139.80000000000001</v>
      </c>
      <c r="R55" s="45">
        <v>139.80000000000001</v>
      </c>
      <c r="S55" s="45">
        <v>121.4</v>
      </c>
      <c r="T55" s="45">
        <v>121.3</v>
      </c>
      <c r="U55" s="45">
        <v>121.3</v>
      </c>
      <c r="V55" s="45">
        <v>121.3</v>
      </c>
      <c r="W55" s="45">
        <v>121.6</v>
      </c>
      <c r="X55" s="45">
        <v>121.3</v>
      </c>
      <c r="Y55" s="45">
        <v>130</v>
      </c>
      <c r="Z55" s="45">
        <v>130</v>
      </c>
      <c r="AA55" s="45">
        <v>121.4</v>
      </c>
      <c r="AB55" s="45">
        <v>121.4</v>
      </c>
      <c r="AC55" s="45">
        <v>132.19999999999999</v>
      </c>
      <c r="AD55" s="45">
        <v>132.19999999999999</v>
      </c>
      <c r="AE55" s="45">
        <v>131</v>
      </c>
      <c r="AF55" s="45">
        <v>131</v>
      </c>
      <c r="AG55" s="51">
        <v>144</v>
      </c>
      <c r="AH55" s="47">
        <f t="shared" si="2"/>
        <v>140.19999999999999</v>
      </c>
      <c r="AI55" s="48">
        <f t="shared" si="3"/>
        <v>121.3</v>
      </c>
      <c r="AK55" s="50"/>
    </row>
    <row r="56" spans="1:41" x14ac:dyDescent="0.25">
      <c r="A56" s="53" t="s">
        <v>64</v>
      </c>
      <c r="B56" s="45">
        <v>69.900000000000006</v>
      </c>
      <c r="C56" s="45">
        <v>71.599999999999994</v>
      </c>
      <c r="D56" s="45">
        <v>52</v>
      </c>
      <c r="E56" s="64">
        <v>69.7</v>
      </c>
      <c r="F56" s="64">
        <v>70.2</v>
      </c>
      <c r="G56" s="64">
        <v>70.8</v>
      </c>
      <c r="H56" s="64">
        <v>71.900000000000006</v>
      </c>
      <c r="I56" s="64">
        <v>71.7</v>
      </c>
      <c r="J56" s="64">
        <v>72</v>
      </c>
      <c r="K56" s="64">
        <v>71.7</v>
      </c>
      <c r="L56" s="64">
        <v>70.099999999999994</v>
      </c>
      <c r="M56" s="64">
        <v>70.099999999999994</v>
      </c>
      <c r="N56" s="64">
        <v>70.099999999999994</v>
      </c>
      <c r="O56" s="64">
        <v>70.099999999999994</v>
      </c>
      <c r="P56" s="64">
        <v>70.099999999999994</v>
      </c>
      <c r="Q56" s="64">
        <v>70.099999999999994</v>
      </c>
      <c r="R56" s="64">
        <v>70.099999999999994</v>
      </c>
      <c r="S56" s="64">
        <v>69.099999999999994</v>
      </c>
      <c r="T56" s="64">
        <v>69.099999999999994</v>
      </c>
      <c r="U56" s="64">
        <v>69.099999999999994</v>
      </c>
      <c r="V56" s="64">
        <v>69.099999999999994</v>
      </c>
      <c r="W56" s="64">
        <v>69.099999999999994</v>
      </c>
      <c r="X56" s="64">
        <v>69.099999999999994</v>
      </c>
      <c r="Y56" s="45">
        <v>65.7</v>
      </c>
      <c r="Z56" s="45">
        <v>65.7</v>
      </c>
      <c r="AA56" s="45">
        <v>49.4</v>
      </c>
      <c r="AB56" s="45">
        <v>59</v>
      </c>
      <c r="AC56" s="45">
        <v>60</v>
      </c>
      <c r="AD56" s="45">
        <v>60</v>
      </c>
      <c r="AE56" s="45">
        <v>59.3</v>
      </c>
      <c r="AF56" s="45">
        <v>59.3</v>
      </c>
      <c r="AG56" s="54">
        <v>70</v>
      </c>
      <c r="AH56" s="47">
        <f t="shared" si="2"/>
        <v>72</v>
      </c>
      <c r="AI56" s="48">
        <f t="shared" si="3"/>
        <v>49.4</v>
      </c>
      <c r="AK56" s="50"/>
    </row>
    <row r="57" spans="1:41" x14ac:dyDescent="0.25">
      <c r="A57" s="53" t="s">
        <v>65</v>
      </c>
      <c r="B57" s="45">
        <v>66.3</v>
      </c>
      <c r="C57" s="45">
        <v>66.3</v>
      </c>
      <c r="D57" s="45">
        <v>66.3</v>
      </c>
      <c r="E57" s="64">
        <v>64.2</v>
      </c>
      <c r="F57" s="64">
        <v>64.099999999999994</v>
      </c>
      <c r="G57" s="64">
        <v>64.5</v>
      </c>
      <c r="H57" s="64">
        <v>64.400000000000006</v>
      </c>
      <c r="I57" s="64">
        <v>65</v>
      </c>
      <c r="J57" s="64">
        <v>64.5</v>
      </c>
      <c r="K57" s="64">
        <v>64.400000000000006</v>
      </c>
      <c r="L57" s="64">
        <v>63.9</v>
      </c>
      <c r="M57" s="64">
        <v>63.9</v>
      </c>
      <c r="N57" s="64">
        <v>63.9</v>
      </c>
      <c r="O57" s="64">
        <v>63.9</v>
      </c>
      <c r="P57" s="64">
        <v>63.9</v>
      </c>
      <c r="Q57" s="64">
        <v>63.9</v>
      </c>
      <c r="R57" s="64">
        <v>63.9</v>
      </c>
      <c r="S57" s="64">
        <v>62.3</v>
      </c>
      <c r="T57" s="64">
        <v>62.6</v>
      </c>
      <c r="U57" s="64">
        <v>62.6</v>
      </c>
      <c r="V57" s="64">
        <v>62.6</v>
      </c>
      <c r="W57" s="64">
        <v>62.6</v>
      </c>
      <c r="X57" s="64">
        <v>62.6</v>
      </c>
      <c r="Y57" s="45">
        <v>61.5</v>
      </c>
      <c r="Z57" s="45">
        <v>61.5</v>
      </c>
      <c r="AA57" s="45">
        <v>53</v>
      </c>
      <c r="AB57" s="45">
        <v>53</v>
      </c>
      <c r="AC57" s="45">
        <v>60.8</v>
      </c>
      <c r="AD57" s="45">
        <v>60.8</v>
      </c>
      <c r="AE57" s="45">
        <v>62.7</v>
      </c>
      <c r="AF57" s="45">
        <v>62.7</v>
      </c>
      <c r="AG57" s="54">
        <v>69</v>
      </c>
      <c r="AH57" s="47">
        <f t="shared" si="2"/>
        <v>66.3</v>
      </c>
      <c r="AI57" s="48">
        <f t="shared" si="3"/>
        <v>53</v>
      </c>
      <c r="AK57" s="50"/>
    </row>
    <row r="58" spans="1:41" x14ac:dyDescent="0.25">
      <c r="A58" s="53" t="s">
        <v>66</v>
      </c>
      <c r="B58" s="45">
        <v>60.7</v>
      </c>
      <c r="C58" s="45">
        <v>60.7</v>
      </c>
      <c r="D58" s="45">
        <v>60.7</v>
      </c>
      <c r="E58" s="56">
        <v>60.7</v>
      </c>
      <c r="F58" s="56">
        <v>60.7</v>
      </c>
      <c r="G58" s="56">
        <v>60.4</v>
      </c>
      <c r="H58" s="56">
        <v>60.7</v>
      </c>
      <c r="I58" s="56">
        <v>60.2</v>
      </c>
      <c r="J58" s="56">
        <v>30</v>
      </c>
      <c r="K58" s="56">
        <v>30</v>
      </c>
      <c r="L58" s="56">
        <v>30</v>
      </c>
      <c r="M58" s="56">
        <v>30</v>
      </c>
      <c r="N58" s="56">
        <v>30</v>
      </c>
      <c r="O58" s="56">
        <v>30</v>
      </c>
      <c r="P58" s="56">
        <v>30</v>
      </c>
      <c r="Q58" s="56">
        <v>30</v>
      </c>
      <c r="R58" s="56">
        <v>30</v>
      </c>
      <c r="S58" s="56">
        <v>30</v>
      </c>
      <c r="T58" s="56">
        <v>20.399999999999999</v>
      </c>
      <c r="U58" s="56">
        <v>0</v>
      </c>
      <c r="V58" s="56">
        <v>0</v>
      </c>
      <c r="W58" s="56">
        <v>31.3</v>
      </c>
      <c r="X58" s="56">
        <v>31.3</v>
      </c>
      <c r="Y58" s="45">
        <v>31.3</v>
      </c>
      <c r="Z58" s="45">
        <v>31.3</v>
      </c>
      <c r="AA58" s="45">
        <v>31.3</v>
      </c>
      <c r="AB58" s="45">
        <v>31.3</v>
      </c>
      <c r="AC58" s="45">
        <v>31.5</v>
      </c>
      <c r="AD58" s="45">
        <v>31.5</v>
      </c>
      <c r="AE58" s="45">
        <v>31.3</v>
      </c>
      <c r="AF58" s="45">
        <v>31.3</v>
      </c>
      <c r="AG58" s="54">
        <v>60</v>
      </c>
      <c r="AH58" s="47">
        <f t="shared" si="2"/>
        <v>60.7</v>
      </c>
      <c r="AI58" s="48">
        <f t="shared" si="3"/>
        <v>0</v>
      </c>
      <c r="AK58" s="50"/>
    </row>
    <row r="59" spans="1:41" x14ac:dyDescent="0.25">
      <c r="A59" s="53" t="s">
        <v>67</v>
      </c>
      <c r="B59" s="45">
        <v>26</v>
      </c>
      <c r="C59" s="45">
        <v>30</v>
      </c>
      <c r="D59" s="45">
        <v>30</v>
      </c>
      <c r="E59" s="45">
        <v>30</v>
      </c>
      <c r="F59" s="56">
        <v>30</v>
      </c>
      <c r="G59" s="56">
        <v>30</v>
      </c>
      <c r="H59" s="56">
        <v>30</v>
      </c>
      <c r="I59" s="56">
        <v>30</v>
      </c>
      <c r="J59" s="56">
        <v>30</v>
      </c>
      <c r="K59" s="56">
        <v>30</v>
      </c>
      <c r="L59" s="56">
        <v>30</v>
      </c>
      <c r="M59" s="56">
        <v>30</v>
      </c>
      <c r="N59" s="56">
        <v>30</v>
      </c>
      <c r="O59" s="56">
        <v>30</v>
      </c>
      <c r="P59" s="56">
        <v>30</v>
      </c>
      <c r="Q59" s="56">
        <v>30</v>
      </c>
      <c r="R59" s="56">
        <v>30</v>
      </c>
      <c r="S59" s="56">
        <v>30</v>
      </c>
      <c r="T59" s="56">
        <v>30</v>
      </c>
      <c r="U59" s="56">
        <v>30</v>
      </c>
      <c r="V59" s="56">
        <v>30</v>
      </c>
      <c r="W59" s="56">
        <v>30</v>
      </c>
      <c r="X59" s="56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30</v>
      </c>
      <c r="AI59" s="48">
        <f t="shared" si="3"/>
        <v>26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45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0.3</v>
      </c>
      <c r="K60" s="64">
        <v>0.4</v>
      </c>
      <c r="L60" s="64">
        <v>0.8</v>
      </c>
      <c r="M60" s="64">
        <v>0.8</v>
      </c>
      <c r="N60" s="64">
        <v>0.8</v>
      </c>
      <c r="O60" s="64">
        <v>0.8</v>
      </c>
      <c r="P60" s="64">
        <v>0.8</v>
      </c>
      <c r="Q60" s="64">
        <v>0.8</v>
      </c>
      <c r="R60" s="64">
        <v>0.8</v>
      </c>
      <c r="S60" s="64">
        <v>1.63</v>
      </c>
      <c r="T60" s="64">
        <v>1.8</v>
      </c>
      <c r="U60" s="64">
        <v>0.7</v>
      </c>
      <c r="V60" s="64">
        <v>0</v>
      </c>
      <c r="W60" s="64">
        <v>0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1.8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11.2</v>
      </c>
      <c r="C63" s="64">
        <v>11.2</v>
      </c>
      <c r="D63" s="64">
        <v>11.2</v>
      </c>
      <c r="E63" s="64">
        <v>11.2</v>
      </c>
      <c r="F63" s="64">
        <v>11.2</v>
      </c>
      <c r="G63" s="64">
        <v>11.2</v>
      </c>
      <c r="H63" s="64">
        <v>11.2</v>
      </c>
      <c r="I63" s="64">
        <v>11.2</v>
      </c>
      <c r="J63" s="64">
        <v>11.2</v>
      </c>
      <c r="K63" s="64">
        <v>11.2</v>
      </c>
      <c r="L63" s="64">
        <v>11.2</v>
      </c>
      <c r="M63" s="64">
        <v>11.2</v>
      </c>
      <c r="N63" s="64">
        <v>11.2</v>
      </c>
      <c r="O63" s="64">
        <v>11.2</v>
      </c>
      <c r="P63" s="64">
        <v>11.2</v>
      </c>
      <c r="Q63" s="64">
        <v>11.2</v>
      </c>
      <c r="R63" s="64">
        <v>11.2</v>
      </c>
      <c r="S63" s="64">
        <v>11.2</v>
      </c>
      <c r="T63" s="64">
        <v>8.4</v>
      </c>
      <c r="U63" s="64">
        <v>8.4</v>
      </c>
      <c r="V63" s="64">
        <v>9.1</v>
      </c>
      <c r="W63" s="64">
        <v>9.1</v>
      </c>
      <c r="X63" s="64">
        <v>9.8000000000000007</v>
      </c>
      <c r="Y63" s="64">
        <v>11.5</v>
      </c>
      <c r="Z63" s="64">
        <v>11.5</v>
      </c>
      <c r="AA63" s="64">
        <v>11.5</v>
      </c>
      <c r="AB63" s="64">
        <v>11.5</v>
      </c>
      <c r="AC63" s="64">
        <v>11.1</v>
      </c>
      <c r="AD63" s="64">
        <v>11.1</v>
      </c>
      <c r="AE63" s="64">
        <v>11.1</v>
      </c>
      <c r="AF63" s="64">
        <v>11.1</v>
      </c>
      <c r="AG63" s="54">
        <v>14.1</v>
      </c>
      <c r="AH63" s="47">
        <f t="shared" si="2"/>
        <v>11.5</v>
      </c>
      <c r="AI63" s="48">
        <f t="shared" si="3"/>
        <v>8.4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14</v>
      </c>
      <c r="D64" s="64">
        <v>14</v>
      </c>
      <c r="E64" s="64">
        <v>14</v>
      </c>
      <c r="F64" s="64">
        <v>14</v>
      </c>
      <c r="G64" s="64">
        <v>14</v>
      </c>
      <c r="H64" s="64">
        <v>14</v>
      </c>
      <c r="I64" s="64">
        <v>14</v>
      </c>
      <c r="J64" s="64">
        <v>14</v>
      </c>
      <c r="K64" s="64">
        <v>14</v>
      </c>
      <c r="L64" s="64">
        <v>14</v>
      </c>
      <c r="M64" s="64">
        <v>14</v>
      </c>
      <c r="N64" s="64">
        <v>14</v>
      </c>
      <c r="O64" s="64">
        <v>14</v>
      </c>
      <c r="P64" s="64">
        <v>14</v>
      </c>
      <c r="Q64" s="64">
        <v>14</v>
      </c>
      <c r="R64" s="64">
        <v>14</v>
      </c>
      <c r="S64" s="64">
        <v>6.8</v>
      </c>
      <c r="T64" s="64">
        <v>6.8</v>
      </c>
      <c r="U64" s="64">
        <v>6.8</v>
      </c>
      <c r="V64" s="64">
        <v>6.8</v>
      </c>
      <c r="W64" s="64">
        <v>6.8</v>
      </c>
      <c r="X64" s="64">
        <v>6.8</v>
      </c>
      <c r="Y64" s="64">
        <v>6.7</v>
      </c>
      <c r="Z64" s="64">
        <v>6.7</v>
      </c>
      <c r="AA64" s="64">
        <v>6.7</v>
      </c>
      <c r="AB64" s="64">
        <v>6.7</v>
      </c>
      <c r="AC64" s="64">
        <v>6.6</v>
      </c>
      <c r="AD64" s="64">
        <v>6.6</v>
      </c>
      <c r="AE64" s="64">
        <v>6.4</v>
      </c>
      <c r="AF64" s="64">
        <v>6.4</v>
      </c>
      <c r="AG64" s="54">
        <v>14</v>
      </c>
      <c r="AH64" s="47">
        <f t="shared" si="2"/>
        <v>14</v>
      </c>
      <c r="AI64" s="48">
        <f t="shared" si="3"/>
        <v>6.4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9">SUM(B55:B67)</f>
        <v>425.34</v>
      </c>
      <c r="C68" s="60">
        <f>SUM(C55:C67)</f>
        <v>431.94</v>
      </c>
      <c r="D68" s="60">
        <f t="shared" si="9"/>
        <v>412.34</v>
      </c>
      <c r="E68" s="60">
        <f t="shared" si="9"/>
        <v>427.73999999999995</v>
      </c>
      <c r="F68" s="60">
        <f t="shared" si="9"/>
        <v>427.93999999999994</v>
      </c>
      <c r="G68" s="60">
        <f t="shared" si="9"/>
        <v>428.94</v>
      </c>
      <c r="H68" s="60">
        <f t="shared" si="9"/>
        <v>430.34000000000003</v>
      </c>
      <c r="I68" s="60">
        <f t="shared" si="9"/>
        <v>430.44</v>
      </c>
      <c r="J68" s="60">
        <f t="shared" si="9"/>
        <v>400.64</v>
      </c>
      <c r="K68" s="60">
        <f t="shared" si="9"/>
        <v>400.63999999999993</v>
      </c>
      <c r="L68" s="60">
        <f t="shared" si="9"/>
        <v>398.54</v>
      </c>
      <c r="M68" s="60">
        <f t="shared" si="9"/>
        <v>398.54</v>
      </c>
      <c r="N68" s="60">
        <f t="shared" si="9"/>
        <v>398.54</v>
      </c>
      <c r="O68" s="60">
        <f t="shared" si="9"/>
        <v>398.54</v>
      </c>
      <c r="P68" s="60">
        <f t="shared" si="9"/>
        <v>398.54</v>
      </c>
      <c r="Q68" s="60">
        <f t="shared" si="9"/>
        <v>398.54</v>
      </c>
      <c r="R68" s="60">
        <f t="shared" si="9"/>
        <v>398.54</v>
      </c>
      <c r="S68" s="60">
        <f t="shared" ref="S68:AA68" si="10">SUM(S55:S67)</f>
        <v>371.17</v>
      </c>
      <c r="T68" s="60">
        <f t="shared" si="10"/>
        <v>359.14</v>
      </c>
      <c r="U68" s="60">
        <f t="shared" si="10"/>
        <v>337.64</v>
      </c>
      <c r="V68" s="60">
        <f t="shared" si="10"/>
        <v>337.64000000000004</v>
      </c>
      <c r="W68" s="60">
        <f t="shared" si="10"/>
        <v>369.24</v>
      </c>
      <c r="X68" s="60">
        <f t="shared" si="10"/>
        <v>369.64</v>
      </c>
      <c r="Y68" s="60">
        <f t="shared" si="10"/>
        <v>375.44</v>
      </c>
      <c r="Z68" s="60">
        <f t="shared" si="10"/>
        <v>375.44</v>
      </c>
      <c r="AA68" s="60">
        <f t="shared" si="10"/>
        <v>342.04</v>
      </c>
      <c r="AB68" s="60">
        <f t="shared" si="9"/>
        <v>351.64</v>
      </c>
      <c r="AC68" s="60">
        <f t="shared" si="9"/>
        <v>368.94000000000005</v>
      </c>
      <c r="AD68" s="60">
        <f t="shared" si="9"/>
        <v>368.94000000000005</v>
      </c>
      <c r="AE68" s="60">
        <f t="shared" si="9"/>
        <v>368.54</v>
      </c>
      <c r="AF68" s="60">
        <f t="shared" si="9"/>
        <v>368.54</v>
      </c>
      <c r="AG68" s="61">
        <f t="shared" si="9"/>
        <v>489.91</v>
      </c>
      <c r="AH68" s="47">
        <f t="shared" si="2"/>
        <v>431.94</v>
      </c>
      <c r="AI68" s="48">
        <f t="shared" si="3"/>
        <v>337.64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>
        <v>20</v>
      </c>
      <c r="M69" s="45">
        <v>0</v>
      </c>
      <c r="N69" s="45">
        <v>0</v>
      </c>
      <c r="O69" s="45">
        <v>0</v>
      </c>
      <c r="P69" s="45"/>
      <c r="Q69" s="45"/>
      <c r="R69" s="45"/>
      <c r="S69" s="45"/>
      <c r="T69" s="45"/>
      <c r="U69" s="45"/>
      <c r="V69" s="45">
        <v>14.1</v>
      </c>
      <c r="W69" s="45">
        <v>14.1</v>
      </c>
      <c r="X69" s="45">
        <v>43.3</v>
      </c>
      <c r="Y69" s="45">
        <v>59.5</v>
      </c>
      <c r="Z69" s="45">
        <v>48.8</v>
      </c>
      <c r="AA69" s="45">
        <v>49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59.5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>
        <v>10</v>
      </c>
      <c r="M70" s="64">
        <v>0</v>
      </c>
      <c r="N70" s="64">
        <v>0</v>
      </c>
      <c r="O70" s="64">
        <v>0</v>
      </c>
      <c r="P70" s="64"/>
      <c r="Q70" s="64"/>
      <c r="R70" s="64"/>
      <c r="S70" s="64"/>
      <c r="T70" s="64"/>
      <c r="U70" s="64"/>
      <c r="V70" s="64">
        <v>5.0999999999999996</v>
      </c>
      <c r="W70" s="64">
        <v>6.2</v>
      </c>
      <c r="X70" s="64">
        <v>17.8</v>
      </c>
      <c r="Y70" s="64">
        <v>27.2</v>
      </c>
      <c r="Z70" s="64">
        <v>21.7</v>
      </c>
      <c r="AA70" s="64">
        <v>21.3</v>
      </c>
      <c r="AB70" s="64">
        <v>5.8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27.2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>
        <v>3.7</v>
      </c>
      <c r="M71" s="66">
        <v>0</v>
      </c>
      <c r="N71" s="66">
        <v>0</v>
      </c>
      <c r="O71" s="66">
        <v>0</v>
      </c>
      <c r="P71" s="66"/>
      <c r="Q71" s="66"/>
      <c r="R71" s="66"/>
      <c r="S71" s="66"/>
      <c r="T71" s="66"/>
      <c r="U71" s="66"/>
      <c r="V71" s="66">
        <v>1.9</v>
      </c>
      <c r="W71" s="66">
        <v>2.2999999999999998</v>
      </c>
      <c r="X71" s="66">
        <v>6.5</v>
      </c>
      <c r="Y71" s="66">
        <v>9.9</v>
      </c>
      <c r="Z71" s="66">
        <v>7.9</v>
      </c>
      <c r="AA71" s="66">
        <v>7.8</v>
      </c>
      <c r="AB71" s="66">
        <v>2.1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9.9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f>C69+C70+C71</f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33.700000000000003</v>
      </c>
      <c r="M72" s="60">
        <f t="shared" ref="M72:AF72" si="11">M69+M70+M71</f>
        <v>0</v>
      </c>
      <c r="N72" s="60">
        <f t="shared" si="11"/>
        <v>0</v>
      </c>
      <c r="O72" s="60">
        <f t="shared" si="11"/>
        <v>0</v>
      </c>
      <c r="P72" s="60">
        <f t="shared" si="11"/>
        <v>0</v>
      </c>
      <c r="Q72" s="60">
        <f t="shared" si="11"/>
        <v>0</v>
      </c>
      <c r="R72" s="60">
        <f t="shared" si="11"/>
        <v>0</v>
      </c>
      <c r="S72" s="60">
        <f t="shared" ref="S72:AA72" si="12">S69+S70+S71</f>
        <v>0</v>
      </c>
      <c r="T72" s="60">
        <f t="shared" si="12"/>
        <v>0</v>
      </c>
      <c r="U72" s="60">
        <f t="shared" si="12"/>
        <v>0</v>
      </c>
      <c r="V72" s="60">
        <f t="shared" si="12"/>
        <v>21.099999999999998</v>
      </c>
      <c r="W72" s="60">
        <f t="shared" si="12"/>
        <v>22.6</v>
      </c>
      <c r="X72" s="60">
        <f t="shared" si="12"/>
        <v>67.599999999999994</v>
      </c>
      <c r="Y72" s="60">
        <f t="shared" si="12"/>
        <v>96.600000000000009</v>
      </c>
      <c r="Z72" s="60">
        <f t="shared" si="12"/>
        <v>78.400000000000006</v>
      </c>
      <c r="AA72" s="60">
        <f t="shared" si="12"/>
        <v>78.099999999999994</v>
      </c>
      <c r="AB72" s="60">
        <f t="shared" si="11"/>
        <v>7.9</v>
      </c>
      <c r="AC72" s="60">
        <f t="shared" si="11"/>
        <v>0</v>
      </c>
      <c r="AD72" s="60">
        <f t="shared" si="11"/>
        <v>0</v>
      </c>
      <c r="AE72" s="60">
        <f t="shared" si="11"/>
        <v>0</v>
      </c>
      <c r="AF72" s="60">
        <f t="shared" si="11"/>
        <v>0</v>
      </c>
      <c r="AG72" s="61">
        <f>SUM(AG69:AG71)</f>
        <v>106</v>
      </c>
      <c r="AH72" s="47">
        <f t="shared" si="2"/>
        <v>96.600000000000009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-64</v>
      </c>
      <c r="C73" s="45">
        <v>-61.1</v>
      </c>
      <c r="D73" s="45">
        <v>-62.1</v>
      </c>
      <c r="E73" s="45">
        <v>-63.9</v>
      </c>
      <c r="F73" s="45">
        <v>-68.400000000000006</v>
      </c>
      <c r="G73" s="45">
        <v>-60.5</v>
      </c>
      <c r="H73" s="45">
        <v>-66.900000000000006</v>
      </c>
      <c r="I73" s="45">
        <v>-68.5</v>
      </c>
      <c r="J73" s="45">
        <v>-65</v>
      </c>
      <c r="K73" s="45">
        <v>-68.599999999999994</v>
      </c>
      <c r="L73" s="45">
        <v>-45.2</v>
      </c>
      <c r="M73" s="45">
        <v>-45</v>
      </c>
      <c r="N73" s="45">
        <v>-47</v>
      </c>
      <c r="O73" s="45">
        <v>-43</v>
      </c>
      <c r="P73" s="45">
        <v>-43</v>
      </c>
      <c r="Q73" s="45">
        <v>-34</v>
      </c>
      <c r="R73" s="45">
        <v>-35</v>
      </c>
      <c r="S73" s="45">
        <v>-35.1</v>
      </c>
      <c r="T73" s="45">
        <v>-53.8</v>
      </c>
      <c r="U73" s="45">
        <v>-55.1</v>
      </c>
      <c r="V73" s="45">
        <v>-53.4</v>
      </c>
      <c r="W73" s="45">
        <v>-52</v>
      </c>
      <c r="X73" s="45">
        <v>-22.7</v>
      </c>
      <c r="Y73" s="45">
        <v>6.5</v>
      </c>
      <c r="Z73" s="45">
        <v>23.6</v>
      </c>
      <c r="AA73" s="45">
        <v>-1.6</v>
      </c>
      <c r="AB73" s="45">
        <v>-15</v>
      </c>
      <c r="AC73" s="45">
        <v>-39.1</v>
      </c>
      <c r="AD73" s="45">
        <v>-39.9</v>
      </c>
      <c r="AE73" s="45">
        <v>-64.400000000000006</v>
      </c>
      <c r="AF73" s="45">
        <v>-64.400000000000006</v>
      </c>
      <c r="AG73" s="51"/>
      <c r="AH73" s="47">
        <f t="shared" si="2"/>
        <v>23.6</v>
      </c>
      <c r="AI73" s="48">
        <f t="shared" si="3"/>
        <v>-68.599999999999994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-594</v>
      </c>
      <c r="C75" s="64">
        <v>-533.20000000000005</v>
      </c>
      <c r="D75" s="64">
        <v>-622</v>
      </c>
      <c r="E75" s="64">
        <v>-625.29999999999995</v>
      </c>
      <c r="F75" s="64">
        <v>-641.5</v>
      </c>
      <c r="G75" s="64">
        <v>-612</v>
      </c>
      <c r="H75" s="64">
        <v>-648.79999999999995</v>
      </c>
      <c r="I75" s="64">
        <v>-655.29999999999995</v>
      </c>
      <c r="J75" s="64">
        <v>-610.1</v>
      </c>
      <c r="K75" s="64">
        <v>-618.4</v>
      </c>
      <c r="L75" s="64">
        <v>-603.6</v>
      </c>
      <c r="M75" s="64">
        <v>-604</v>
      </c>
      <c r="N75" s="64">
        <v>-585</v>
      </c>
      <c r="O75" s="64">
        <v>-584</v>
      </c>
      <c r="P75" s="64">
        <v>-600</v>
      </c>
      <c r="Q75" s="64">
        <v>-606</v>
      </c>
      <c r="R75" s="64">
        <v>-613</v>
      </c>
      <c r="S75" s="64">
        <v>-632.20000000000005</v>
      </c>
      <c r="T75" s="64">
        <v>-614.4</v>
      </c>
      <c r="U75" s="64">
        <v>-600.5</v>
      </c>
      <c r="V75" s="64">
        <v>-636.4</v>
      </c>
      <c r="W75" s="64">
        <v>-597.29999999999995</v>
      </c>
      <c r="X75" s="64">
        <v>-605.4</v>
      </c>
      <c r="Y75" s="64">
        <v>-606.9</v>
      </c>
      <c r="Z75" s="64">
        <v>-602.29999999999995</v>
      </c>
      <c r="AA75" s="64">
        <v>-603.5</v>
      </c>
      <c r="AB75" s="64">
        <v>-612</v>
      </c>
      <c r="AC75" s="64">
        <v>-600</v>
      </c>
      <c r="AD75" s="64">
        <v>-628.5</v>
      </c>
      <c r="AE75" s="64">
        <v>-624.5</v>
      </c>
      <c r="AF75" s="64">
        <v>-603</v>
      </c>
      <c r="AG75" s="74"/>
      <c r="AH75" s="47">
        <f t="shared" si="2"/>
        <v>-533.20000000000005</v>
      </c>
      <c r="AI75" s="48">
        <f t="shared" si="3"/>
        <v>-655.29999999999995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64">
        <v>0</v>
      </c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13">MAX(B77:AF77)</f>
        <v>0</v>
      </c>
      <c r="AI77" s="48">
        <f t="shared" ref="AI77:AI120" si="14">MIN(B77:AF77)</f>
        <v>0</v>
      </c>
      <c r="AK77" s="50"/>
    </row>
    <row r="78" spans="1:40" x14ac:dyDescent="0.25">
      <c r="A78" s="53" t="s">
        <v>86</v>
      </c>
      <c r="B78" s="45"/>
      <c r="C78" s="45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13"/>
        <v>0</v>
      </c>
      <c r="AI78" s="48">
        <f t="shared" si="14"/>
        <v>0</v>
      </c>
      <c r="AK78" s="50"/>
    </row>
    <row r="79" spans="1:40" ht="15.75" thickBot="1" x14ac:dyDescent="0.3">
      <c r="A79" s="53" t="s">
        <v>87</v>
      </c>
      <c r="B79" s="45"/>
      <c r="C79" s="45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13"/>
        <v>0</v>
      </c>
      <c r="AI79" s="48">
        <f t="shared" si="14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45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13"/>
        <v>0</v>
      </c>
      <c r="AI80" s="48">
        <f t="shared" si="14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45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13"/>
        <v>0</v>
      </c>
      <c r="AI81" s="48">
        <f t="shared" si="14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45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13"/>
        <v>0</v>
      </c>
      <c r="AI82" s="48">
        <f t="shared" si="14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45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13"/>
        <v>0</v>
      </c>
      <c r="AI83" s="48">
        <f t="shared" si="14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5">SUMIF(B73:B83,"&gt;0")</f>
        <v>0</v>
      </c>
      <c r="C84" s="60">
        <f>SUMIF(C73:C83,"&gt;0")</f>
        <v>0</v>
      </c>
      <c r="D84" s="60">
        <f t="shared" si="15"/>
        <v>0</v>
      </c>
      <c r="E84" s="60">
        <f t="shared" si="15"/>
        <v>0</v>
      </c>
      <c r="F84" s="60">
        <f t="shared" si="15"/>
        <v>0</v>
      </c>
      <c r="G84" s="60">
        <f t="shared" si="15"/>
        <v>0</v>
      </c>
      <c r="H84" s="60">
        <f t="shared" si="15"/>
        <v>0</v>
      </c>
      <c r="I84" s="60">
        <f t="shared" si="15"/>
        <v>0</v>
      </c>
      <c r="J84" s="60">
        <f t="shared" si="15"/>
        <v>0</v>
      </c>
      <c r="K84" s="60">
        <f t="shared" si="15"/>
        <v>0</v>
      </c>
      <c r="L84" s="60">
        <f t="shared" si="15"/>
        <v>0</v>
      </c>
      <c r="M84" s="60">
        <f t="shared" si="15"/>
        <v>0</v>
      </c>
      <c r="N84" s="60">
        <f t="shared" si="15"/>
        <v>0</v>
      </c>
      <c r="O84" s="60">
        <f t="shared" si="15"/>
        <v>0</v>
      </c>
      <c r="P84" s="60">
        <f t="shared" si="15"/>
        <v>0</v>
      </c>
      <c r="Q84" s="60">
        <f t="shared" si="15"/>
        <v>0</v>
      </c>
      <c r="R84" s="60">
        <f t="shared" si="15"/>
        <v>0</v>
      </c>
      <c r="S84" s="60">
        <f t="shared" ref="S84:AA84" si="16">SUMIF(S73:S83,"&gt;0")</f>
        <v>0</v>
      </c>
      <c r="T84" s="60">
        <f t="shared" si="16"/>
        <v>0</v>
      </c>
      <c r="U84" s="60">
        <f t="shared" si="16"/>
        <v>0</v>
      </c>
      <c r="V84" s="60">
        <f t="shared" si="16"/>
        <v>0</v>
      </c>
      <c r="W84" s="60">
        <f t="shared" si="16"/>
        <v>0</v>
      </c>
      <c r="X84" s="60">
        <f t="shared" si="16"/>
        <v>0</v>
      </c>
      <c r="Y84" s="60">
        <f t="shared" si="16"/>
        <v>6.5</v>
      </c>
      <c r="Z84" s="60">
        <f t="shared" si="16"/>
        <v>23.6</v>
      </c>
      <c r="AA84" s="60">
        <f t="shared" si="16"/>
        <v>0</v>
      </c>
      <c r="AB84" s="60">
        <f t="shared" si="15"/>
        <v>0</v>
      </c>
      <c r="AC84" s="60">
        <f t="shared" si="15"/>
        <v>0</v>
      </c>
      <c r="AD84" s="60">
        <f t="shared" si="15"/>
        <v>0</v>
      </c>
      <c r="AE84" s="60">
        <f t="shared" si="15"/>
        <v>0</v>
      </c>
      <c r="AF84" s="60">
        <f t="shared" si="15"/>
        <v>0</v>
      </c>
      <c r="AG84" s="87">
        <f>SUM(AG73:AG83)</f>
        <v>0</v>
      </c>
      <c r="AH84" s="47">
        <f t="shared" si="13"/>
        <v>23.6</v>
      </c>
      <c r="AI84" s="48">
        <f t="shared" si="14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3"/>
        <v>0</v>
      </c>
      <c r="AI85" s="48">
        <f t="shared" si="14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3"/>
        <v>0</v>
      </c>
      <c r="AI86" s="48">
        <f t="shared" si="14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3"/>
        <v>0</v>
      </c>
      <c r="AI87" s="48">
        <f t="shared" si="14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3"/>
        <v>0</v>
      </c>
      <c r="AI88" s="48">
        <f t="shared" si="14"/>
        <v>0</v>
      </c>
    </row>
    <row r="89" spans="1:40" ht="15.75" thickBot="1" x14ac:dyDescent="0.3">
      <c r="A89" s="73" t="s">
        <v>100</v>
      </c>
      <c r="B89" s="94">
        <f t="shared" ref="B89:AG89" si="17">B50+B54+B72+B68+B84+B88</f>
        <v>2050.2400000000002</v>
      </c>
      <c r="C89" s="94">
        <f>C50+C54+C72+C68+C84+C88</f>
        <v>2056.84</v>
      </c>
      <c r="D89" s="94">
        <f t="shared" si="17"/>
        <v>2008.74</v>
      </c>
      <c r="E89" s="94">
        <f t="shared" si="17"/>
        <v>2019.5400000000002</v>
      </c>
      <c r="F89" s="94">
        <f t="shared" si="17"/>
        <v>2024.3400000000001</v>
      </c>
      <c r="G89" s="94">
        <f t="shared" si="17"/>
        <v>2004.3400000000001</v>
      </c>
      <c r="H89" s="94">
        <f t="shared" si="17"/>
        <v>2050.6400000000003</v>
      </c>
      <c r="I89" s="94">
        <f t="shared" si="17"/>
        <v>2034.44</v>
      </c>
      <c r="J89" s="94">
        <f t="shared" si="17"/>
        <v>2032.04</v>
      </c>
      <c r="K89" s="94">
        <f t="shared" si="17"/>
        <v>2074.04</v>
      </c>
      <c r="L89" s="94">
        <f t="shared" si="17"/>
        <v>2158.34</v>
      </c>
      <c r="M89" s="94">
        <f t="shared" si="17"/>
        <v>2124.6400000000003</v>
      </c>
      <c r="N89" s="94">
        <f t="shared" si="17"/>
        <v>2124.6400000000003</v>
      </c>
      <c r="O89" s="94">
        <f t="shared" si="17"/>
        <v>2107.6400000000003</v>
      </c>
      <c r="P89" s="94">
        <f t="shared" si="17"/>
        <v>2122.6400000000003</v>
      </c>
      <c r="Q89" s="94">
        <f t="shared" si="17"/>
        <v>2122.6400000000003</v>
      </c>
      <c r="R89" s="94">
        <f t="shared" si="17"/>
        <v>2085.6400000000003</v>
      </c>
      <c r="S89" s="94">
        <f t="shared" ref="S89:AA89" si="18">S50+S54+S72+S68+S84+S88</f>
        <v>2050.5700000000002</v>
      </c>
      <c r="T89" s="94">
        <f t="shared" si="18"/>
        <v>2011.54</v>
      </c>
      <c r="U89" s="94">
        <f t="shared" si="18"/>
        <v>2004.94</v>
      </c>
      <c r="V89" s="94">
        <f t="shared" si="18"/>
        <v>2047.24</v>
      </c>
      <c r="W89" s="94">
        <f t="shared" si="18"/>
        <v>2075.34</v>
      </c>
      <c r="X89" s="94">
        <f t="shared" si="18"/>
        <v>2127.54</v>
      </c>
      <c r="Y89" s="94">
        <f t="shared" si="18"/>
        <v>2186.67</v>
      </c>
      <c r="Z89" s="94">
        <f t="shared" si="18"/>
        <v>2185.5700000000002</v>
      </c>
      <c r="AA89" s="94">
        <f t="shared" si="18"/>
        <v>2128.27</v>
      </c>
      <c r="AB89" s="94">
        <f t="shared" si="17"/>
        <v>2015.7399999999998</v>
      </c>
      <c r="AC89" s="94">
        <f t="shared" si="17"/>
        <v>1994.04</v>
      </c>
      <c r="AD89" s="94">
        <f t="shared" si="17"/>
        <v>1994.04</v>
      </c>
      <c r="AE89" s="94">
        <f t="shared" si="17"/>
        <v>1969.8400000000001</v>
      </c>
      <c r="AF89" s="94">
        <f t="shared" si="17"/>
        <v>1930.8400000000001</v>
      </c>
      <c r="AG89" s="61">
        <f t="shared" si="17"/>
        <v>2111.5500000000002</v>
      </c>
      <c r="AH89" s="47">
        <f t="shared" si="13"/>
        <v>2186.67</v>
      </c>
      <c r="AI89" s="48">
        <f t="shared" si="14"/>
        <v>1930.8400000000001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3"/>
        <v>0</v>
      </c>
      <c r="AI90" s="48">
        <f t="shared" si="14"/>
        <v>0</v>
      </c>
    </row>
    <row r="91" spans="1:40" ht="15.75" thickBot="1" x14ac:dyDescent="0.3">
      <c r="A91" s="73" t="s">
        <v>102</v>
      </c>
      <c r="B91" s="94">
        <f t="shared" ref="B91:AF91" si="19">B89+B90</f>
        <v>2050.2400000000002</v>
      </c>
      <c r="C91" s="94">
        <f>C89+C90</f>
        <v>2056.84</v>
      </c>
      <c r="D91" s="94">
        <f t="shared" si="19"/>
        <v>2008.74</v>
      </c>
      <c r="E91" s="94">
        <f t="shared" si="19"/>
        <v>2019.5400000000002</v>
      </c>
      <c r="F91" s="94">
        <f t="shared" si="19"/>
        <v>2024.3400000000001</v>
      </c>
      <c r="G91" s="94">
        <f t="shared" si="19"/>
        <v>2004.3400000000001</v>
      </c>
      <c r="H91" s="94">
        <f t="shared" si="19"/>
        <v>2050.6400000000003</v>
      </c>
      <c r="I91" s="94">
        <f t="shared" si="19"/>
        <v>2034.44</v>
      </c>
      <c r="J91" s="94">
        <f t="shared" si="19"/>
        <v>2032.04</v>
      </c>
      <c r="K91" s="94">
        <f t="shared" si="19"/>
        <v>2074.04</v>
      </c>
      <c r="L91" s="94">
        <f t="shared" si="19"/>
        <v>2158.34</v>
      </c>
      <c r="M91" s="94">
        <f t="shared" si="19"/>
        <v>2124.6400000000003</v>
      </c>
      <c r="N91" s="94">
        <f t="shared" si="19"/>
        <v>2124.6400000000003</v>
      </c>
      <c r="O91" s="94">
        <f t="shared" si="19"/>
        <v>2107.6400000000003</v>
      </c>
      <c r="P91" s="94">
        <f t="shared" si="19"/>
        <v>2122.6400000000003</v>
      </c>
      <c r="Q91" s="94">
        <f t="shared" si="19"/>
        <v>2122.6400000000003</v>
      </c>
      <c r="R91" s="94">
        <f t="shared" si="19"/>
        <v>2085.6400000000003</v>
      </c>
      <c r="S91" s="94">
        <f t="shared" ref="S91:AA91" si="20">S89+S90</f>
        <v>2050.5700000000002</v>
      </c>
      <c r="T91" s="94">
        <f t="shared" si="20"/>
        <v>2011.54</v>
      </c>
      <c r="U91" s="94">
        <f t="shared" si="20"/>
        <v>2004.94</v>
      </c>
      <c r="V91" s="94">
        <f t="shared" si="20"/>
        <v>2047.24</v>
      </c>
      <c r="W91" s="94">
        <f t="shared" si="20"/>
        <v>2075.34</v>
      </c>
      <c r="X91" s="94">
        <f t="shared" si="20"/>
        <v>2127.54</v>
      </c>
      <c r="Y91" s="94">
        <f t="shared" si="20"/>
        <v>2186.67</v>
      </c>
      <c r="Z91" s="94">
        <f t="shared" si="20"/>
        <v>2185.5700000000002</v>
      </c>
      <c r="AA91" s="94">
        <f t="shared" si="20"/>
        <v>2128.27</v>
      </c>
      <c r="AB91" s="94">
        <f t="shared" si="19"/>
        <v>2015.7399999999998</v>
      </c>
      <c r="AC91" s="94">
        <f t="shared" si="19"/>
        <v>1994.04</v>
      </c>
      <c r="AD91" s="94">
        <f t="shared" si="19"/>
        <v>1994.04</v>
      </c>
      <c r="AE91" s="94">
        <f t="shared" si="19"/>
        <v>1969.8400000000001</v>
      </c>
      <c r="AF91" s="94">
        <f t="shared" si="19"/>
        <v>1930.8400000000001</v>
      </c>
      <c r="AG91" s="87">
        <f>AG88+AG84+AG72+AG68+AG50+AG90</f>
        <v>1573.45</v>
      </c>
      <c r="AH91" s="47">
        <f t="shared" si="13"/>
        <v>2186.67</v>
      </c>
      <c r="AI91" s="48">
        <f t="shared" si="14"/>
        <v>1930.8400000000001</v>
      </c>
    </row>
    <row r="92" spans="1:40" ht="15.75" thickBot="1" x14ac:dyDescent="0.3">
      <c r="A92" s="73" t="s">
        <v>103</v>
      </c>
      <c r="B92" s="94">
        <f>B91-(-B99)</f>
        <v>1456.2400000000002</v>
      </c>
      <c r="C92" s="94">
        <f>C91-(-C99)</f>
        <v>1523.64</v>
      </c>
      <c r="D92" s="94">
        <f t="shared" ref="D92:AF92" si="21">D91-(-D99)</f>
        <v>1386.74</v>
      </c>
      <c r="E92" s="94">
        <f t="shared" si="21"/>
        <v>1394.2400000000002</v>
      </c>
      <c r="F92" s="94">
        <f t="shared" si="21"/>
        <v>1382.8400000000001</v>
      </c>
      <c r="G92" s="94">
        <f t="shared" si="21"/>
        <v>1392.3400000000001</v>
      </c>
      <c r="H92" s="94">
        <f t="shared" si="21"/>
        <v>1401.8400000000004</v>
      </c>
      <c r="I92" s="94">
        <f t="shared" si="21"/>
        <v>1379.14</v>
      </c>
      <c r="J92" s="94">
        <f t="shared" si="21"/>
        <v>1421.94</v>
      </c>
      <c r="K92" s="94">
        <f t="shared" si="21"/>
        <v>1455.6399999999999</v>
      </c>
      <c r="L92" s="94">
        <f t="shared" si="21"/>
        <v>1554.7400000000002</v>
      </c>
      <c r="M92" s="94">
        <f t="shared" si="21"/>
        <v>1520.6400000000003</v>
      </c>
      <c r="N92" s="94">
        <f t="shared" si="21"/>
        <v>1539.6400000000003</v>
      </c>
      <c r="O92" s="94">
        <f t="shared" si="21"/>
        <v>1523.6400000000003</v>
      </c>
      <c r="P92" s="94">
        <f t="shared" si="21"/>
        <v>1522.6400000000003</v>
      </c>
      <c r="Q92" s="94">
        <f t="shared" si="21"/>
        <v>1516.6400000000003</v>
      </c>
      <c r="R92" s="94">
        <f t="shared" si="21"/>
        <v>1472.6400000000003</v>
      </c>
      <c r="S92" s="94">
        <f t="shared" ref="S92:AA92" si="22">S91-(-S99)</f>
        <v>1418.3700000000001</v>
      </c>
      <c r="T92" s="94">
        <f t="shared" si="22"/>
        <v>1397.1399999999999</v>
      </c>
      <c r="U92" s="94">
        <f t="shared" si="22"/>
        <v>1404.44</v>
      </c>
      <c r="V92" s="94">
        <f t="shared" si="22"/>
        <v>1410.8400000000001</v>
      </c>
      <c r="W92" s="94">
        <f t="shared" si="22"/>
        <v>1478.0400000000002</v>
      </c>
      <c r="X92" s="94">
        <f t="shared" si="22"/>
        <v>1522.1399999999999</v>
      </c>
      <c r="Y92" s="94">
        <f t="shared" si="22"/>
        <v>1579.77</v>
      </c>
      <c r="Z92" s="94">
        <f t="shared" si="22"/>
        <v>1583.2700000000002</v>
      </c>
      <c r="AA92" s="94">
        <f t="shared" si="22"/>
        <v>1524.77</v>
      </c>
      <c r="AB92" s="94">
        <f t="shared" si="21"/>
        <v>1403.7399999999998</v>
      </c>
      <c r="AC92" s="94">
        <f t="shared" si="21"/>
        <v>1394.04</v>
      </c>
      <c r="AD92" s="94">
        <f t="shared" si="21"/>
        <v>1365.54</v>
      </c>
      <c r="AE92" s="94">
        <f t="shared" si="21"/>
        <v>1345.3400000000001</v>
      </c>
      <c r="AF92" s="94">
        <f t="shared" si="21"/>
        <v>1327.8400000000001</v>
      </c>
      <c r="AG92" s="87"/>
      <c r="AH92" s="47">
        <f t="shared" si="13"/>
        <v>1583.2700000000002</v>
      </c>
      <c r="AI92" s="48">
        <f t="shared" si="14"/>
        <v>1327.8400000000001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3"/>
        <v>0</v>
      </c>
      <c r="AI93" s="48">
        <f t="shared" si="14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3"/>
        <v>0</v>
      </c>
      <c r="AI94" s="48">
        <f t="shared" si="14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3"/>
        <v>0</v>
      </c>
      <c r="AI95" s="48">
        <f t="shared" si="14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3"/>
        <v>0</v>
      </c>
      <c r="AI96" s="48">
        <f t="shared" si="14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3"/>
        <v>0</v>
      </c>
      <c r="AI97" s="48">
        <f t="shared" si="14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3"/>
        <v>0</v>
      </c>
      <c r="AI98" s="48">
        <f t="shared" si="14"/>
        <v>0</v>
      </c>
    </row>
    <row r="99" spans="1:37" ht="15.75" thickBot="1" x14ac:dyDescent="0.3">
      <c r="A99" s="98" t="s">
        <v>107</v>
      </c>
      <c r="B99" s="60">
        <f>B75</f>
        <v>-594</v>
      </c>
      <c r="C99" s="60">
        <f>C75</f>
        <v>-533.20000000000005</v>
      </c>
      <c r="D99" s="60">
        <f t="shared" ref="D99:AF99" si="23">D75</f>
        <v>-622</v>
      </c>
      <c r="E99" s="60">
        <f t="shared" si="23"/>
        <v>-625.29999999999995</v>
      </c>
      <c r="F99" s="60">
        <f t="shared" si="23"/>
        <v>-641.5</v>
      </c>
      <c r="G99" s="60">
        <f t="shared" si="23"/>
        <v>-612</v>
      </c>
      <c r="H99" s="60">
        <f t="shared" si="23"/>
        <v>-648.79999999999995</v>
      </c>
      <c r="I99" s="60">
        <f t="shared" si="23"/>
        <v>-655.29999999999995</v>
      </c>
      <c r="J99" s="60">
        <f t="shared" si="23"/>
        <v>-610.1</v>
      </c>
      <c r="K99" s="60">
        <f t="shared" si="23"/>
        <v>-618.4</v>
      </c>
      <c r="L99" s="60">
        <f t="shared" si="23"/>
        <v>-603.6</v>
      </c>
      <c r="M99" s="60">
        <f t="shared" si="23"/>
        <v>-604</v>
      </c>
      <c r="N99" s="60">
        <f t="shared" si="23"/>
        <v>-585</v>
      </c>
      <c r="O99" s="60">
        <f t="shared" si="23"/>
        <v>-584</v>
      </c>
      <c r="P99" s="60">
        <f t="shared" si="23"/>
        <v>-600</v>
      </c>
      <c r="Q99" s="60">
        <f t="shared" si="23"/>
        <v>-606</v>
      </c>
      <c r="R99" s="60">
        <f t="shared" si="23"/>
        <v>-613</v>
      </c>
      <c r="S99" s="60">
        <f t="shared" ref="S99:AA99" si="24">S75</f>
        <v>-632.20000000000005</v>
      </c>
      <c r="T99" s="60">
        <f t="shared" si="24"/>
        <v>-614.4</v>
      </c>
      <c r="U99" s="60">
        <f t="shared" si="24"/>
        <v>-600.5</v>
      </c>
      <c r="V99" s="60">
        <f t="shared" si="24"/>
        <v>-636.4</v>
      </c>
      <c r="W99" s="60">
        <f t="shared" si="24"/>
        <v>-597.29999999999995</v>
      </c>
      <c r="X99" s="60">
        <f t="shared" si="24"/>
        <v>-605.4</v>
      </c>
      <c r="Y99" s="60">
        <f t="shared" si="24"/>
        <v>-606.9</v>
      </c>
      <c r="Z99" s="60">
        <f t="shared" si="24"/>
        <v>-602.29999999999995</v>
      </c>
      <c r="AA99" s="60">
        <f t="shared" si="24"/>
        <v>-603.5</v>
      </c>
      <c r="AB99" s="60">
        <f t="shared" si="23"/>
        <v>-612</v>
      </c>
      <c r="AC99" s="60">
        <f t="shared" si="23"/>
        <v>-600</v>
      </c>
      <c r="AD99" s="60">
        <f t="shared" si="23"/>
        <v>-628.5</v>
      </c>
      <c r="AE99" s="60">
        <f t="shared" si="23"/>
        <v>-624.5</v>
      </c>
      <c r="AF99" s="60">
        <f t="shared" si="23"/>
        <v>-603</v>
      </c>
      <c r="AG99" s="87"/>
      <c r="AH99" s="47">
        <f t="shared" si="13"/>
        <v>-533.20000000000005</v>
      </c>
      <c r="AI99" s="48">
        <f t="shared" si="14"/>
        <v>-655.29999999999995</v>
      </c>
      <c r="AK99" s="50"/>
    </row>
    <row r="100" spans="1:37" ht="15.75" thickBot="1" x14ac:dyDescent="0.3">
      <c r="A100" s="73" t="s">
        <v>108</v>
      </c>
      <c r="B100" s="60">
        <f t="shared" ref="B100:AF100" si="25">B84-B99</f>
        <v>594</v>
      </c>
      <c r="C100" s="60">
        <f>C84-C99</f>
        <v>533.20000000000005</v>
      </c>
      <c r="D100" s="60">
        <f t="shared" si="25"/>
        <v>622</v>
      </c>
      <c r="E100" s="60">
        <f t="shared" si="25"/>
        <v>625.29999999999995</v>
      </c>
      <c r="F100" s="60">
        <f t="shared" si="25"/>
        <v>641.5</v>
      </c>
      <c r="G100" s="60">
        <f t="shared" si="25"/>
        <v>612</v>
      </c>
      <c r="H100" s="60">
        <f t="shared" si="25"/>
        <v>648.79999999999995</v>
      </c>
      <c r="I100" s="60">
        <f t="shared" si="25"/>
        <v>655.29999999999995</v>
      </c>
      <c r="J100" s="60">
        <f t="shared" si="25"/>
        <v>610.1</v>
      </c>
      <c r="K100" s="60">
        <f t="shared" si="25"/>
        <v>618.4</v>
      </c>
      <c r="L100" s="60">
        <f t="shared" si="25"/>
        <v>603.6</v>
      </c>
      <c r="M100" s="60">
        <f t="shared" si="25"/>
        <v>604</v>
      </c>
      <c r="N100" s="60">
        <f t="shared" si="25"/>
        <v>585</v>
      </c>
      <c r="O100" s="60">
        <f t="shared" si="25"/>
        <v>584</v>
      </c>
      <c r="P100" s="60">
        <f t="shared" si="25"/>
        <v>600</v>
      </c>
      <c r="Q100" s="60">
        <f t="shared" si="25"/>
        <v>606</v>
      </c>
      <c r="R100" s="60">
        <f t="shared" si="25"/>
        <v>613</v>
      </c>
      <c r="S100" s="60">
        <f t="shared" ref="S100:AA100" si="26">S84-S99</f>
        <v>632.20000000000005</v>
      </c>
      <c r="T100" s="60">
        <f t="shared" si="26"/>
        <v>614.4</v>
      </c>
      <c r="U100" s="60">
        <f t="shared" si="26"/>
        <v>600.5</v>
      </c>
      <c r="V100" s="60">
        <f t="shared" si="26"/>
        <v>636.4</v>
      </c>
      <c r="W100" s="60">
        <f t="shared" si="26"/>
        <v>597.29999999999995</v>
      </c>
      <c r="X100" s="60">
        <f t="shared" si="26"/>
        <v>605.4</v>
      </c>
      <c r="Y100" s="60">
        <f t="shared" si="26"/>
        <v>613.4</v>
      </c>
      <c r="Z100" s="60">
        <f t="shared" si="26"/>
        <v>625.9</v>
      </c>
      <c r="AA100" s="60">
        <f t="shared" si="26"/>
        <v>603.5</v>
      </c>
      <c r="AB100" s="60">
        <f t="shared" si="25"/>
        <v>612</v>
      </c>
      <c r="AC100" s="60">
        <f t="shared" si="25"/>
        <v>600</v>
      </c>
      <c r="AD100" s="60">
        <f t="shared" si="25"/>
        <v>628.5</v>
      </c>
      <c r="AE100" s="60">
        <f t="shared" si="25"/>
        <v>624.5</v>
      </c>
      <c r="AF100" s="60">
        <f t="shared" si="25"/>
        <v>603</v>
      </c>
      <c r="AG100" s="87"/>
      <c r="AH100" s="47">
        <f t="shared" si="13"/>
        <v>655.29999999999995</v>
      </c>
      <c r="AI100" s="48">
        <f t="shared" si="14"/>
        <v>533.20000000000005</v>
      </c>
    </row>
    <row r="101" spans="1:37" x14ac:dyDescent="0.25">
      <c r="A101" s="99" t="s">
        <v>109</v>
      </c>
      <c r="B101" s="100">
        <v>50</v>
      </c>
      <c r="C101" s="100">
        <v>49.811999999999998</v>
      </c>
      <c r="D101" s="100">
        <v>49.99</v>
      </c>
      <c r="E101" s="100">
        <v>49.957000000000001</v>
      </c>
      <c r="F101" s="100">
        <v>50.042999999999999</v>
      </c>
      <c r="G101" s="100">
        <v>49.957000000000001</v>
      </c>
      <c r="H101" s="100">
        <v>49.932000000000002</v>
      </c>
      <c r="I101" s="100">
        <v>49.941000000000003</v>
      </c>
      <c r="J101" s="100">
        <v>49.77</v>
      </c>
      <c r="K101" s="100">
        <v>49.756</v>
      </c>
      <c r="L101" s="100">
        <v>50.002000000000002</v>
      </c>
      <c r="M101" s="100">
        <v>49.98</v>
      </c>
      <c r="N101" s="100">
        <v>49.98</v>
      </c>
      <c r="O101" s="100">
        <v>50.037999999999997</v>
      </c>
      <c r="P101" s="100">
        <v>50.081000000000003</v>
      </c>
      <c r="Q101" s="100">
        <v>50.081000000000003</v>
      </c>
      <c r="R101" s="100">
        <v>50.081000000000003</v>
      </c>
      <c r="S101" s="100">
        <v>49.932000000000002</v>
      </c>
      <c r="T101" s="100">
        <v>49.936999999999998</v>
      </c>
      <c r="U101" s="100">
        <v>49.93</v>
      </c>
      <c r="V101" s="100">
        <v>49.74</v>
      </c>
      <c r="W101" s="100">
        <v>49.99</v>
      </c>
      <c r="X101" s="100">
        <v>49.89</v>
      </c>
      <c r="Y101" s="100">
        <v>49.76</v>
      </c>
      <c r="Z101" s="100">
        <v>49.88</v>
      </c>
      <c r="AA101" s="100">
        <v>50.01</v>
      </c>
      <c r="AB101" s="100">
        <v>50.023000000000003</v>
      </c>
      <c r="AC101" s="100">
        <v>49.988</v>
      </c>
      <c r="AD101" s="100">
        <v>49.99</v>
      </c>
      <c r="AE101" s="100">
        <v>50.039000000000001</v>
      </c>
      <c r="AF101" s="100">
        <v>49.963000000000001</v>
      </c>
      <c r="AG101" s="101"/>
      <c r="AH101" s="47">
        <f t="shared" si="13"/>
        <v>50.081000000000003</v>
      </c>
      <c r="AI101" s="48">
        <f t="shared" si="14"/>
        <v>49.74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3"/>
        <v>0</v>
      </c>
      <c r="AI102" s="48">
        <f t="shared" si="14"/>
        <v>0</v>
      </c>
    </row>
    <row r="103" spans="1:37" x14ac:dyDescent="0.25">
      <c r="A103" s="102" t="s">
        <v>111</v>
      </c>
      <c r="B103" s="64">
        <v>128.69999999999999</v>
      </c>
      <c r="C103" s="64">
        <v>128.9</v>
      </c>
      <c r="D103" s="64">
        <v>131.80000000000001</v>
      </c>
      <c r="E103" s="64">
        <v>130.4</v>
      </c>
      <c r="F103" s="64">
        <v>129.5</v>
      </c>
      <c r="G103" s="64">
        <v>130.19999999999999</v>
      </c>
      <c r="H103" s="64">
        <v>129</v>
      </c>
      <c r="I103" s="64">
        <v>128</v>
      </c>
      <c r="J103" s="64">
        <v>126</v>
      </c>
      <c r="K103" s="64">
        <v>126.7</v>
      </c>
      <c r="L103" s="64">
        <v>126.3</v>
      </c>
      <c r="M103" s="64">
        <v>124.6</v>
      </c>
      <c r="N103" s="64">
        <v>124.6</v>
      </c>
      <c r="O103" s="64">
        <v>128.30000000000001</v>
      </c>
      <c r="P103" s="64">
        <v>127.3</v>
      </c>
      <c r="Q103" s="64">
        <v>127.3</v>
      </c>
      <c r="R103" s="64">
        <v>127.3</v>
      </c>
      <c r="S103" s="64">
        <v>127.1</v>
      </c>
      <c r="T103" s="64">
        <v>128</v>
      </c>
      <c r="U103" s="64">
        <v>125.8</v>
      </c>
      <c r="V103" s="64">
        <v>128.19999999999999</v>
      </c>
      <c r="W103" s="64">
        <v>128.30000000000001</v>
      </c>
      <c r="X103" s="64">
        <v>128.6</v>
      </c>
      <c r="Y103" s="64">
        <v>127.8</v>
      </c>
      <c r="Z103" s="64">
        <v>128.69999999999999</v>
      </c>
      <c r="AA103" s="64">
        <v>130.19999999999999</v>
      </c>
      <c r="AB103" s="64">
        <v>129.4</v>
      </c>
      <c r="AC103" s="64">
        <v>129.5</v>
      </c>
      <c r="AD103" s="64">
        <v>129</v>
      </c>
      <c r="AE103" s="64">
        <v>129.5</v>
      </c>
      <c r="AF103" s="64">
        <v>129.19999999999999</v>
      </c>
      <c r="AG103" s="103"/>
      <c r="AH103" s="47">
        <f t="shared" si="13"/>
        <v>131.80000000000001</v>
      </c>
      <c r="AI103" s="48">
        <f t="shared" si="14"/>
        <v>124.6</v>
      </c>
    </row>
    <row r="104" spans="1:37" x14ac:dyDescent="0.25">
      <c r="A104" s="102" t="s">
        <v>112</v>
      </c>
      <c r="B104" s="64">
        <v>128.6</v>
      </c>
      <c r="C104" s="64">
        <v>130.6</v>
      </c>
      <c r="D104" s="64">
        <v>130</v>
      </c>
      <c r="E104" s="64">
        <v>127.4</v>
      </c>
      <c r="F104" s="64">
        <v>129.19999999999999</v>
      </c>
      <c r="G104" s="64">
        <v>129.30000000000001</v>
      </c>
      <c r="H104" s="64">
        <v>129</v>
      </c>
      <c r="I104" s="64">
        <v>128.1</v>
      </c>
      <c r="J104" s="64">
        <v>127.5</v>
      </c>
      <c r="K104" s="64">
        <v>128.6</v>
      </c>
      <c r="L104" s="64">
        <v>128.80000000000001</v>
      </c>
      <c r="M104" s="64">
        <v>126</v>
      </c>
      <c r="N104" s="64">
        <v>126</v>
      </c>
      <c r="O104" s="64">
        <v>128.1</v>
      </c>
      <c r="P104" s="64">
        <v>129.5</v>
      </c>
      <c r="Q104" s="64">
        <v>129.5</v>
      </c>
      <c r="R104" s="64">
        <v>129.5</v>
      </c>
      <c r="S104" s="64">
        <v>128.19999999999999</v>
      </c>
      <c r="T104" s="64">
        <v>129.9</v>
      </c>
      <c r="U104" s="64">
        <v>129</v>
      </c>
      <c r="V104" s="64">
        <v>128.80000000000001</v>
      </c>
      <c r="W104" s="64">
        <v>129.1</v>
      </c>
      <c r="X104" s="64">
        <v>127.7</v>
      </c>
      <c r="Y104" s="64">
        <v>128.19999999999999</v>
      </c>
      <c r="Z104" s="64">
        <v>130.4</v>
      </c>
      <c r="AA104" s="64">
        <v>131.6</v>
      </c>
      <c r="AB104" s="64">
        <v>132.30000000000001</v>
      </c>
      <c r="AC104" s="64">
        <v>131.1</v>
      </c>
      <c r="AD104" s="64">
        <v>131</v>
      </c>
      <c r="AE104" s="64">
        <v>130.4</v>
      </c>
      <c r="AF104" s="64">
        <v>129.5</v>
      </c>
      <c r="AG104" s="103"/>
      <c r="AH104" s="47">
        <f t="shared" si="13"/>
        <v>132.30000000000001</v>
      </c>
      <c r="AI104" s="48">
        <f t="shared" si="14"/>
        <v>126</v>
      </c>
    </row>
    <row r="105" spans="1:37" x14ac:dyDescent="0.25">
      <c r="A105" s="104" t="s">
        <v>113</v>
      </c>
      <c r="B105" s="64">
        <v>132.4</v>
      </c>
      <c r="C105" s="64">
        <v>130.30000000000001</v>
      </c>
      <c r="D105" s="64">
        <v>133.80000000000001</v>
      </c>
      <c r="E105" s="64">
        <v>132.30000000000001</v>
      </c>
      <c r="F105" s="64">
        <v>133.6</v>
      </c>
      <c r="G105" s="64">
        <v>132</v>
      </c>
      <c r="H105" s="64">
        <v>131.5</v>
      </c>
      <c r="I105" s="64">
        <v>130.6</v>
      </c>
      <c r="J105" s="64">
        <v>129.80000000000001</v>
      </c>
      <c r="K105" s="64">
        <v>131</v>
      </c>
      <c r="L105" s="64">
        <v>130.19999999999999</v>
      </c>
      <c r="M105" s="64">
        <v>128.5</v>
      </c>
      <c r="N105" s="64">
        <v>128.5</v>
      </c>
      <c r="O105" s="64">
        <v>131.19999999999999</v>
      </c>
      <c r="P105" s="64">
        <v>131.4</v>
      </c>
      <c r="Q105" s="64">
        <v>131.4</v>
      </c>
      <c r="R105" s="64">
        <v>131.4</v>
      </c>
      <c r="S105" s="64">
        <v>130.4</v>
      </c>
      <c r="T105" s="64">
        <v>131.6</v>
      </c>
      <c r="U105" s="64">
        <v>131.30000000000001</v>
      </c>
      <c r="V105" s="64">
        <v>130.80000000000001</v>
      </c>
      <c r="W105" s="64">
        <v>130.69999999999999</v>
      </c>
      <c r="X105" s="64">
        <v>129.4</v>
      </c>
      <c r="Y105" s="64">
        <v>129.69999999999999</v>
      </c>
      <c r="Z105" s="64">
        <v>132.30000000000001</v>
      </c>
      <c r="AA105" s="64">
        <v>134.1</v>
      </c>
      <c r="AB105" s="64">
        <v>134.80000000000001</v>
      </c>
      <c r="AC105" s="64">
        <v>134.5</v>
      </c>
      <c r="AD105" s="64">
        <v>134.69999999999999</v>
      </c>
      <c r="AE105" s="64">
        <v>134.4</v>
      </c>
      <c r="AF105" s="64">
        <v>132.1</v>
      </c>
      <c r="AG105" s="103"/>
      <c r="AH105" s="47">
        <f t="shared" si="13"/>
        <v>134.80000000000001</v>
      </c>
      <c r="AI105" s="48">
        <f t="shared" si="14"/>
        <v>128.5</v>
      </c>
    </row>
    <row r="106" spans="1:37" x14ac:dyDescent="0.25">
      <c r="A106" s="104" t="s">
        <v>114</v>
      </c>
      <c r="B106" s="105">
        <v>134.6</v>
      </c>
      <c r="C106" s="105">
        <v>135.6</v>
      </c>
      <c r="D106" s="105">
        <v>134.80000000000001</v>
      </c>
      <c r="E106" s="105">
        <v>133.6</v>
      </c>
      <c r="F106" s="105">
        <v>132.6</v>
      </c>
      <c r="G106" s="105">
        <v>132.1</v>
      </c>
      <c r="H106" s="105">
        <v>130.19999999999999</v>
      </c>
      <c r="I106" s="105">
        <v>131.9</v>
      </c>
      <c r="J106" s="105">
        <v>132.6</v>
      </c>
      <c r="K106" s="105">
        <v>131</v>
      </c>
      <c r="L106" s="105">
        <v>131.5</v>
      </c>
      <c r="M106" s="105">
        <v>134.5</v>
      </c>
      <c r="N106" s="105">
        <v>134.5</v>
      </c>
      <c r="O106" s="105">
        <v>136.1</v>
      </c>
      <c r="P106" s="105">
        <v>132.4</v>
      </c>
      <c r="Q106" s="105">
        <v>132.4</v>
      </c>
      <c r="R106" s="105">
        <v>132.4</v>
      </c>
      <c r="S106" s="105">
        <v>131</v>
      </c>
      <c r="T106" s="105">
        <v>131.5</v>
      </c>
      <c r="U106" s="105">
        <v>130.19999999999999</v>
      </c>
      <c r="V106" s="105">
        <v>133.69999999999999</v>
      </c>
      <c r="W106" s="105">
        <v>133.4</v>
      </c>
      <c r="X106" s="105">
        <v>133.30000000000001</v>
      </c>
      <c r="Y106" s="105">
        <v>130.5</v>
      </c>
      <c r="Z106" s="105">
        <v>132.80000000000001</v>
      </c>
      <c r="AA106" s="105">
        <v>130.5</v>
      </c>
      <c r="AB106" s="105">
        <v>131.1</v>
      </c>
      <c r="AC106" s="105">
        <v>132.19999999999999</v>
      </c>
      <c r="AD106" s="105">
        <v>131.9</v>
      </c>
      <c r="AE106" s="105">
        <v>133.19999999999999</v>
      </c>
      <c r="AF106" s="105">
        <v>130.1</v>
      </c>
      <c r="AG106" s="106"/>
      <c r="AH106" s="47">
        <f t="shared" si="13"/>
        <v>136.1</v>
      </c>
      <c r="AI106" s="48">
        <f t="shared" si="14"/>
        <v>130.1</v>
      </c>
    </row>
    <row r="107" spans="1:37" x14ac:dyDescent="0.25">
      <c r="A107" s="102" t="s">
        <v>115</v>
      </c>
      <c r="B107" s="64">
        <v>131.30000000000001</v>
      </c>
      <c r="C107" s="64">
        <v>134.9</v>
      </c>
      <c r="D107" s="64">
        <v>132.9</v>
      </c>
      <c r="E107" s="64">
        <v>135.69999999999999</v>
      </c>
      <c r="F107" s="64">
        <v>136.80000000000001</v>
      </c>
      <c r="G107" s="64">
        <v>135.5</v>
      </c>
      <c r="H107" s="64">
        <v>130.9</v>
      </c>
      <c r="I107" s="64">
        <v>133.1</v>
      </c>
      <c r="J107" s="64">
        <v>131.5</v>
      </c>
      <c r="K107" s="64">
        <v>130.69999999999999</v>
      </c>
      <c r="L107" s="64">
        <v>132.19999999999999</v>
      </c>
      <c r="M107" s="64">
        <v>133.30000000000001</v>
      </c>
      <c r="N107" s="64">
        <v>133.30000000000001</v>
      </c>
      <c r="O107" s="64">
        <v>133.9</v>
      </c>
      <c r="P107" s="64">
        <v>130.1</v>
      </c>
      <c r="Q107" s="64">
        <v>130.1</v>
      </c>
      <c r="R107" s="64">
        <v>130.1</v>
      </c>
      <c r="S107" s="64">
        <v>130.1</v>
      </c>
      <c r="T107" s="64">
        <v>130.4</v>
      </c>
      <c r="U107" s="64">
        <v>131.19999999999999</v>
      </c>
      <c r="V107" s="64">
        <v>134.4</v>
      </c>
      <c r="W107" s="64">
        <v>131.5</v>
      </c>
      <c r="X107" s="64">
        <v>129.1</v>
      </c>
      <c r="Y107" s="64">
        <v>130.19999999999999</v>
      </c>
      <c r="Z107" s="64">
        <v>127.2</v>
      </c>
      <c r="AA107" s="64">
        <v>131</v>
      </c>
      <c r="AB107" s="64">
        <v>130.19999999999999</v>
      </c>
      <c r="AC107" s="64">
        <v>132.69999999999999</v>
      </c>
      <c r="AD107" s="64">
        <v>132.30000000000001</v>
      </c>
      <c r="AE107" s="64">
        <v>133.69999999999999</v>
      </c>
      <c r="AF107" s="64">
        <v>129.9</v>
      </c>
      <c r="AG107" s="103"/>
      <c r="AH107" s="47">
        <f t="shared" si="13"/>
        <v>136.80000000000001</v>
      </c>
      <c r="AI107" s="48">
        <f t="shared" si="14"/>
        <v>127.2</v>
      </c>
    </row>
    <row r="108" spans="1:37" ht="15.75" thickBot="1" x14ac:dyDescent="0.3">
      <c r="A108" s="102" t="s">
        <v>116</v>
      </c>
      <c r="B108" s="91">
        <v>64.900000000000006</v>
      </c>
      <c r="C108" s="91">
        <v>65.2</v>
      </c>
      <c r="D108" s="91">
        <v>66.7</v>
      </c>
      <c r="E108" s="91">
        <v>65.8</v>
      </c>
      <c r="F108" s="91">
        <v>65.3</v>
      </c>
      <c r="G108" s="91">
        <v>65.599999999999994</v>
      </c>
      <c r="H108" s="91">
        <v>65</v>
      </c>
      <c r="I108" s="91">
        <v>64.5</v>
      </c>
      <c r="J108" s="91">
        <v>63.3</v>
      </c>
      <c r="K108" s="91">
        <v>64.2</v>
      </c>
      <c r="L108" s="91">
        <v>64.2</v>
      </c>
      <c r="M108" s="91">
        <v>63.3</v>
      </c>
      <c r="N108" s="91">
        <v>63.3</v>
      </c>
      <c r="O108" s="91">
        <v>64.8</v>
      </c>
      <c r="P108" s="91">
        <v>64.400000000000006</v>
      </c>
      <c r="Q108" s="91">
        <v>64.400000000000006</v>
      </c>
      <c r="R108" s="91">
        <v>64.400000000000006</v>
      </c>
      <c r="S108" s="91">
        <v>64</v>
      </c>
      <c r="T108" s="91">
        <v>64</v>
      </c>
      <c r="U108" s="91">
        <v>63.8</v>
      </c>
      <c r="V108" s="91">
        <v>63.8</v>
      </c>
      <c r="W108" s="91">
        <v>64.900000000000006</v>
      </c>
      <c r="X108" s="91">
        <v>65.099999999999994</v>
      </c>
      <c r="Y108" s="91">
        <v>64.7</v>
      </c>
      <c r="Z108" s="91">
        <v>65.099999999999994</v>
      </c>
      <c r="AA108" s="91">
        <v>65.900000000000006</v>
      </c>
      <c r="AB108" s="91">
        <v>65.3</v>
      </c>
      <c r="AC108" s="91">
        <v>65.3</v>
      </c>
      <c r="AD108" s="91">
        <v>65</v>
      </c>
      <c r="AE108" s="91">
        <v>65.099999999999994</v>
      </c>
      <c r="AF108" s="91">
        <v>64.599999999999994</v>
      </c>
      <c r="AG108" s="107"/>
      <c r="AH108" s="47">
        <f t="shared" si="13"/>
        <v>66.7</v>
      </c>
      <c r="AI108" s="48">
        <f t="shared" si="14"/>
        <v>63.3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3"/>
        <v>0</v>
      </c>
      <c r="AI109" s="48">
        <f t="shared" si="14"/>
        <v>0</v>
      </c>
    </row>
    <row r="110" spans="1:37" ht="15.75" thickBot="1" x14ac:dyDescent="0.3">
      <c r="A110" s="109" t="s">
        <v>118</v>
      </c>
      <c r="B110" s="110">
        <f t="shared" ref="B110:O110" si="27">SUM(B20,B26,B29:B30,B58,B60:B61,B63,B65,B111:B115,B138,B144,B150,B159,B161,B173,B180,B183:B184,B191,B193,B195,B199:B201,B203:B205,B210,B216:B217,B219:B221,B229,B234)</f>
        <v>43.299999999999983</v>
      </c>
      <c r="C110" s="110">
        <f>SUM(C20,C26,C29:C30,C58,C60:C61,C63,C65,C111:C115,C138,C144,C150,C159,C161,C173,C180,C183:C184,C191,C193,C195,C199:C201,C203:C205,C210,C216:C217,C219:C221,C229,C234)</f>
        <v>40.439999999999962</v>
      </c>
      <c r="D110" s="110">
        <f t="shared" si="27"/>
        <v>41.339999999999975</v>
      </c>
      <c r="E110" s="110">
        <f t="shared" si="27"/>
        <v>33.639999999999965</v>
      </c>
      <c r="F110" s="110">
        <f t="shared" si="27"/>
        <v>35.240000000000009</v>
      </c>
      <c r="G110" s="110">
        <f t="shared" si="27"/>
        <v>70.339999999999989</v>
      </c>
      <c r="H110" s="110">
        <f t="shared" si="27"/>
        <v>58.939999999999955</v>
      </c>
      <c r="I110" s="110">
        <f t="shared" si="27"/>
        <v>107.73999999999995</v>
      </c>
      <c r="J110" s="110">
        <f t="shared" si="27"/>
        <v>162.64000000000001</v>
      </c>
      <c r="K110" s="110">
        <f t="shared" si="27"/>
        <v>212.04000000000005</v>
      </c>
      <c r="L110" s="110">
        <f t="shared" si="27"/>
        <v>227.84</v>
      </c>
      <c r="M110" s="110">
        <f t="shared" si="27"/>
        <v>205.24</v>
      </c>
      <c r="N110" s="110">
        <f t="shared" si="27"/>
        <v>205.24</v>
      </c>
      <c r="O110" s="110">
        <f t="shared" si="27"/>
        <v>188.73999999999995</v>
      </c>
      <c r="P110" s="110">
        <v>42</v>
      </c>
      <c r="Q110" s="110">
        <f t="shared" ref="Q110:AC110" si="28">SUM(Q20,Q26,Q29:Q30,Q58,Q60:Q61,Q63,Q65,Q111:Q115,Q138,Q144,Q150,Q159,Q161,Q173,Q180,Q183:Q184,Q191,Q193,Q195,Q199:Q201,Q203:Q205,Q210,Q216:Q217,Q219:Q221,Q229,Q234)</f>
        <v>173.29999999999998</v>
      </c>
      <c r="R110" s="110">
        <f t="shared" si="28"/>
        <v>191.5</v>
      </c>
      <c r="S110" s="110">
        <f t="shared" si="28"/>
        <v>156.22999999999999</v>
      </c>
      <c r="T110" s="110">
        <f t="shared" si="28"/>
        <v>183.8</v>
      </c>
      <c r="U110" s="110">
        <f t="shared" si="28"/>
        <v>219</v>
      </c>
      <c r="V110" s="110">
        <f t="shared" si="28"/>
        <v>226.39999999999998</v>
      </c>
      <c r="W110" s="110">
        <f t="shared" si="28"/>
        <v>263</v>
      </c>
      <c r="X110" s="110">
        <f t="shared" si="28"/>
        <v>266.50000000000006</v>
      </c>
      <c r="Y110" s="110">
        <f t="shared" si="28"/>
        <v>272.89999999999998</v>
      </c>
      <c r="Z110" s="110">
        <f t="shared" si="28"/>
        <v>255.79999999999998</v>
      </c>
      <c r="AA110" s="110">
        <f t="shared" si="28"/>
        <v>249</v>
      </c>
      <c r="AB110" s="110">
        <f t="shared" si="28"/>
        <v>186.8</v>
      </c>
      <c r="AC110" s="110">
        <f t="shared" si="28"/>
        <v>165.79999999999995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111.99999999999996</v>
      </c>
      <c r="AF110" s="110">
        <f>SUM(AF20,AF26,AF29:AF30,AF58,AF60:AF61,AF63,AF65,AF111:AF115,AF138,AF144,AF150,AF159,AF161,AF173,AF180,AF183:AF184,AF191,AF193,AF195,AF199:AF201,AF203:AF205,AF210,AF216:AF217,AF219:AF221,AF229,AF234)</f>
        <v>83.699999999999989</v>
      </c>
      <c r="AG110" s="111"/>
      <c r="AH110" s="47">
        <f t="shared" si="13"/>
        <v>272.89999999999998</v>
      </c>
      <c r="AI110" s="48">
        <f t="shared" si="14"/>
        <v>33.639999999999965</v>
      </c>
    </row>
    <row r="111" spans="1:37" x14ac:dyDescent="0.25">
      <c r="A111" s="99" t="s">
        <v>119</v>
      </c>
      <c r="B111" s="112">
        <v>32.299999999999997</v>
      </c>
      <c r="C111" s="112">
        <v>35.700000000000003</v>
      </c>
      <c r="D111" s="112">
        <v>24.4</v>
      </c>
      <c r="E111" s="112">
        <v>26.7</v>
      </c>
      <c r="F111" s="112">
        <v>30.1</v>
      </c>
      <c r="G111" s="112">
        <v>33.299999999999997</v>
      </c>
      <c r="H111" s="112">
        <v>34.4</v>
      </c>
      <c r="I111" s="112">
        <v>43.7</v>
      </c>
      <c r="J111" s="112">
        <v>53.7</v>
      </c>
      <c r="K111" s="112">
        <v>79.2</v>
      </c>
      <c r="L111" s="112">
        <v>72.2</v>
      </c>
      <c r="M111" s="112">
        <v>77.8</v>
      </c>
      <c r="N111" s="112">
        <v>77.8</v>
      </c>
      <c r="O111" s="112">
        <v>59.7</v>
      </c>
      <c r="P111" s="112">
        <v>50</v>
      </c>
      <c r="Q111" s="112">
        <v>50</v>
      </c>
      <c r="R111" s="112">
        <v>53.3</v>
      </c>
      <c r="S111" s="112">
        <v>51.5</v>
      </c>
      <c r="T111" s="112">
        <v>51.8</v>
      </c>
      <c r="U111" s="112">
        <v>60</v>
      </c>
      <c r="V111" s="112">
        <v>59.1</v>
      </c>
      <c r="W111" s="112">
        <v>58.9</v>
      </c>
      <c r="X111" s="112">
        <v>61.4</v>
      </c>
      <c r="Y111" s="112">
        <v>64.8</v>
      </c>
      <c r="Z111" s="112">
        <v>60.9</v>
      </c>
      <c r="AA111" s="112">
        <v>54</v>
      </c>
      <c r="AB111" s="112">
        <v>49.5</v>
      </c>
      <c r="AC111" s="112">
        <v>50.1</v>
      </c>
      <c r="AD111" s="112">
        <v>51</v>
      </c>
      <c r="AE111" s="112">
        <v>38.6</v>
      </c>
      <c r="AF111" s="112">
        <v>31.9</v>
      </c>
      <c r="AG111" s="113">
        <v>75</v>
      </c>
      <c r="AH111" s="47">
        <f t="shared" si="13"/>
        <v>79.2</v>
      </c>
      <c r="AI111" s="48">
        <f t="shared" si="14"/>
        <v>24.4</v>
      </c>
    </row>
    <row r="112" spans="1:37" x14ac:dyDescent="0.25">
      <c r="A112" s="102" t="s">
        <v>120</v>
      </c>
      <c r="B112" s="114">
        <v>49.1</v>
      </c>
      <c r="C112" s="114">
        <v>53.5</v>
      </c>
      <c r="D112" s="114">
        <v>34.1</v>
      </c>
      <c r="E112" s="114">
        <v>37.700000000000003</v>
      </c>
      <c r="F112" s="114">
        <v>43.7</v>
      </c>
      <c r="G112" s="114">
        <v>45.9</v>
      </c>
      <c r="H112" s="114">
        <v>50.8</v>
      </c>
      <c r="I112" s="114">
        <v>61.7</v>
      </c>
      <c r="J112" s="114">
        <v>77.900000000000006</v>
      </c>
      <c r="K112" s="114">
        <v>113.4</v>
      </c>
      <c r="L112" s="114">
        <v>98.9</v>
      </c>
      <c r="M112" s="114">
        <v>108</v>
      </c>
      <c r="N112" s="114">
        <v>108</v>
      </c>
      <c r="O112" s="114">
        <v>81.099999999999994</v>
      </c>
      <c r="P112" s="114">
        <v>65.2</v>
      </c>
      <c r="Q112" s="114">
        <v>65.2</v>
      </c>
      <c r="R112" s="114">
        <v>53</v>
      </c>
      <c r="S112" s="114">
        <v>69.400000000000006</v>
      </c>
      <c r="T112" s="114">
        <v>67.599999999999994</v>
      </c>
      <c r="U112" s="114">
        <v>81.2</v>
      </c>
      <c r="V112" s="114">
        <v>81.5</v>
      </c>
      <c r="W112" s="114">
        <v>79.400000000000006</v>
      </c>
      <c r="X112" s="114">
        <v>83</v>
      </c>
      <c r="Y112" s="114">
        <v>88.8</v>
      </c>
      <c r="Z112" s="114">
        <v>82</v>
      </c>
      <c r="AA112" s="114">
        <v>70.5</v>
      </c>
      <c r="AB112" s="114">
        <v>64</v>
      </c>
      <c r="AC112" s="114">
        <v>65.3</v>
      </c>
      <c r="AD112" s="114">
        <v>66.3</v>
      </c>
      <c r="AE112" s="114">
        <v>47.8</v>
      </c>
      <c r="AF112" s="114">
        <v>43.4</v>
      </c>
      <c r="AG112" s="113">
        <v>240</v>
      </c>
      <c r="AH112" s="47">
        <f t="shared" si="13"/>
        <v>113.4</v>
      </c>
      <c r="AI112" s="48">
        <f t="shared" si="14"/>
        <v>34.1</v>
      </c>
    </row>
    <row r="113" spans="1:37" x14ac:dyDescent="0.25">
      <c r="A113" s="102" t="s">
        <v>121</v>
      </c>
      <c r="B113" s="114">
        <v>-164</v>
      </c>
      <c r="C113" s="114">
        <v>-176</v>
      </c>
      <c r="D113" s="114">
        <v>-140</v>
      </c>
      <c r="E113" s="114">
        <f>-75.2-79</f>
        <v>-154.19999999999999</v>
      </c>
      <c r="F113" s="114">
        <f>-78.6-82.3</f>
        <v>-160.89999999999998</v>
      </c>
      <c r="G113" s="114">
        <f>-66.4-69.3</f>
        <v>-135.69999999999999</v>
      </c>
      <c r="H113" s="114">
        <f>-76-78.8</f>
        <v>-154.80000000000001</v>
      </c>
      <c r="I113" s="114">
        <f>-65.5-68</f>
        <v>-133.5</v>
      </c>
      <c r="J113" s="114">
        <f>-43.8-46</f>
        <v>-89.8</v>
      </c>
      <c r="K113" s="114">
        <f>-62.1-64.9</f>
        <v>-127</v>
      </c>
      <c r="L113" s="114">
        <f>-48.8-55.1</f>
        <v>-103.9</v>
      </c>
      <c r="M113" s="114">
        <v>-125</v>
      </c>
      <c r="N113" s="114">
        <v>-125</v>
      </c>
      <c r="O113" s="114">
        <v>-95</v>
      </c>
      <c r="P113" s="114">
        <v>-88</v>
      </c>
      <c r="Q113" s="114">
        <v>-88</v>
      </c>
      <c r="R113" s="114">
        <v>-80</v>
      </c>
      <c r="S113" s="114">
        <v>-103.6</v>
      </c>
      <c r="T113" s="114">
        <v>-67.8</v>
      </c>
      <c r="U113" s="114">
        <v>-44.9</v>
      </c>
      <c r="V113" s="114">
        <v>-46.7</v>
      </c>
      <c r="W113" s="114">
        <v>-42.7</v>
      </c>
      <c r="X113" s="114">
        <v>-65.7</v>
      </c>
      <c r="Y113" s="114">
        <v>-80.5</v>
      </c>
      <c r="Z113" s="114">
        <v>-78.8</v>
      </c>
      <c r="AA113" s="114">
        <v>-66.900000000000006</v>
      </c>
      <c r="AB113" s="114">
        <v>-71</v>
      </c>
      <c r="AC113" s="114">
        <v>-85</v>
      </c>
      <c r="AD113" s="114">
        <v>-96.5</v>
      </c>
      <c r="AE113" s="114">
        <v>-97</v>
      </c>
      <c r="AF113" s="114">
        <v>-103.6</v>
      </c>
      <c r="AG113" s="113">
        <v>240</v>
      </c>
      <c r="AH113" s="47">
        <f t="shared" si="13"/>
        <v>-42.7</v>
      </c>
      <c r="AI113" s="48">
        <f t="shared" si="14"/>
        <v>-176</v>
      </c>
    </row>
    <row r="114" spans="1:37" x14ac:dyDescent="0.25">
      <c r="A114" s="102" t="s">
        <v>122</v>
      </c>
      <c r="B114" s="114">
        <v>-33</v>
      </c>
      <c r="C114" s="114">
        <v>-32.6</v>
      </c>
      <c r="D114" s="114">
        <v>-32</v>
      </c>
      <c r="E114" s="114">
        <v>-31.4</v>
      </c>
      <c r="F114" s="114">
        <v>-32.5</v>
      </c>
      <c r="G114" s="114">
        <v>-27.7</v>
      </c>
      <c r="H114" s="114">
        <v>-31.3</v>
      </c>
      <c r="I114" s="114">
        <v>-23.5</v>
      </c>
      <c r="J114" s="114">
        <v>-18.600000000000001</v>
      </c>
      <c r="K114" s="114">
        <v>-8.1</v>
      </c>
      <c r="L114" s="114">
        <v>5.7</v>
      </c>
      <c r="M114" s="114">
        <v>-10.5</v>
      </c>
      <c r="N114" s="114">
        <v>-10.5</v>
      </c>
      <c r="O114" s="114">
        <v>-7</v>
      </c>
      <c r="P114" s="114">
        <v>-2.9</v>
      </c>
      <c r="Q114" s="114">
        <v>-2.9</v>
      </c>
      <c r="R114" s="114">
        <v>11.2</v>
      </c>
      <c r="S114" s="114">
        <v>-1.2</v>
      </c>
      <c r="T114" s="114">
        <v>4.3</v>
      </c>
      <c r="U114" s="114">
        <v>1.4</v>
      </c>
      <c r="V114" s="114">
        <v>11.2</v>
      </c>
      <c r="W114" s="114">
        <v>14.8</v>
      </c>
      <c r="X114" s="114">
        <v>34.5</v>
      </c>
      <c r="Y114" s="114">
        <v>45.2</v>
      </c>
      <c r="Z114" s="114">
        <v>37.1</v>
      </c>
      <c r="AA114" s="114">
        <v>36.799999999999997</v>
      </c>
      <c r="AB114" s="114">
        <v>4.5</v>
      </c>
      <c r="AC114" s="114">
        <v>0</v>
      </c>
      <c r="AD114" s="114">
        <v>-0.8</v>
      </c>
      <c r="AE114" s="114">
        <v>-6.8</v>
      </c>
      <c r="AF114" s="114">
        <v>-12.4</v>
      </c>
      <c r="AG114" s="113">
        <v>60</v>
      </c>
      <c r="AH114" s="47">
        <f t="shared" si="13"/>
        <v>45.2</v>
      </c>
      <c r="AI114" s="48">
        <f t="shared" si="14"/>
        <v>-33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3"/>
        <v>0</v>
      </c>
      <c r="AI115" s="48">
        <f t="shared" si="14"/>
        <v>0</v>
      </c>
    </row>
    <row r="116" spans="1:37" x14ac:dyDescent="0.25">
      <c r="A116" s="115" t="s">
        <v>124</v>
      </c>
      <c r="B116" s="116">
        <v>27</v>
      </c>
      <c r="C116" s="116">
        <v>2.8</v>
      </c>
      <c r="D116" s="116">
        <v>37</v>
      </c>
      <c r="E116" s="116">
        <v>21.3</v>
      </c>
      <c r="F116" s="116">
        <v>-9.3000000000000007</v>
      </c>
      <c r="G116" s="116">
        <v>32.299999999999997</v>
      </c>
      <c r="H116" s="116">
        <v>6.2</v>
      </c>
      <c r="I116" s="116">
        <v>1.5</v>
      </c>
      <c r="J116" s="116">
        <v>56.5</v>
      </c>
      <c r="K116" s="116">
        <v>55.1</v>
      </c>
      <c r="L116" s="116">
        <v>56.7</v>
      </c>
      <c r="M116" s="116">
        <v>64.400000000000006</v>
      </c>
      <c r="N116" s="116">
        <v>64.400000000000006</v>
      </c>
      <c r="O116" s="116">
        <v>47</v>
      </c>
      <c r="P116" s="116">
        <v>55.9</v>
      </c>
      <c r="Q116" s="116">
        <v>55.9</v>
      </c>
      <c r="R116" s="116">
        <v>52.8</v>
      </c>
      <c r="S116" s="116">
        <v>9.6999999999999993</v>
      </c>
      <c r="T116" s="116">
        <v>31.2</v>
      </c>
      <c r="U116" s="116">
        <v>69.599999999999994</v>
      </c>
      <c r="V116" s="116">
        <v>57.2</v>
      </c>
      <c r="W116" s="116">
        <v>69.8</v>
      </c>
      <c r="X116" s="116">
        <v>36.799999999999997</v>
      </c>
      <c r="Y116" s="116">
        <v>10.1</v>
      </c>
      <c r="Z116" s="116">
        <v>37</v>
      </c>
      <c r="AA116" s="116">
        <v>51.8</v>
      </c>
      <c r="AB116" s="116">
        <v>65</v>
      </c>
      <c r="AC116" s="116">
        <v>46.1</v>
      </c>
      <c r="AD116" s="116">
        <v>39</v>
      </c>
      <c r="AE116" s="116">
        <v>57.9</v>
      </c>
      <c r="AF116" s="116">
        <v>77</v>
      </c>
      <c r="AG116" s="117"/>
      <c r="AH116" s="47">
        <f t="shared" si="13"/>
        <v>77</v>
      </c>
      <c r="AI116" s="48">
        <f t="shared" si="14"/>
        <v>-9.3000000000000007</v>
      </c>
    </row>
    <row r="117" spans="1:37" x14ac:dyDescent="0.25">
      <c r="A117" s="115" t="s">
        <v>125</v>
      </c>
      <c r="B117" s="116">
        <v>-18</v>
      </c>
      <c r="C117" s="116">
        <v>-34.5</v>
      </c>
      <c r="D117" s="116">
        <v>-39</v>
      </c>
      <c r="E117" s="116">
        <v>-30.8</v>
      </c>
      <c r="F117" s="116">
        <v>-48.4</v>
      </c>
      <c r="G117" s="116">
        <v>-52.1</v>
      </c>
      <c r="H117" s="116">
        <v>-39.4</v>
      </c>
      <c r="I117" s="116">
        <v>-61.3</v>
      </c>
      <c r="J117" s="116">
        <v>-44</v>
      </c>
      <c r="K117" s="116">
        <v>-41.5</v>
      </c>
      <c r="L117" s="116">
        <v>-55.7</v>
      </c>
      <c r="M117" s="116">
        <v>-68.900000000000006</v>
      </c>
      <c r="N117" s="116">
        <v>-68.900000000000006</v>
      </c>
      <c r="O117" s="116">
        <v>-38</v>
      </c>
      <c r="P117" s="116">
        <v>-31</v>
      </c>
      <c r="Q117" s="116">
        <v>-31</v>
      </c>
      <c r="R117" s="116">
        <v>-8.4</v>
      </c>
      <c r="S117" s="116">
        <v>-60.5</v>
      </c>
      <c r="T117" s="116">
        <v>-27.6</v>
      </c>
      <c r="U117" s="116">
        <v>-24.3</v>
      </c>
      <c r="V117" s="116">
        <v>-13.5</v>
      </c>
      <c r="W117" s="116">
        <v>-15.3</v>
      </c>
      <c r="X117" s="116">
        <v>-24.2</v>
      </c>
      <c r="Y117" s="116">
        <v>-33.4</v>
      </c>
      <c r="Z117" s="116">
        <v>-42.7</v>
      </c>
      <c r="AA117" s="116">
        <v>-35.6</v>
      </c>
      <c r="AB117" s="116">
        <v>-34.1</v>
      </c>
      <c r="AC117" s="116">
        <v>-35</v>
      </c>
      <c r="AD117" s="116">
        <v>-36.9</v>
      </c>
      <c r="AE117" s="116">
        <v>-19.899999999999999</v>
      </c>
      <c r="AF117" s="116">
        <v>-21.8</v>
      </c>
      <c r="AG117" s="118"/>
      <c r="AH117" s="47">
        <f t="shared" si="13"/>
        <v>-8.4</v>
      </c>
      <c r="AI117" s="48">
        <f t="shared" si="14"/>
        <v>-68.900000000000006</v>
      </c>
    </row>
    <row r="118" spans="1:37" x14ac:dyDescent="0.25">
      <c r="A118" s="119" t="s">
        <v>126</v>
      </c>
      <c r="B118" s="105">
        <v>75.099999999999994</v>
      </c>
      <c r="C118" s="105">
        <v>-23.6</v>
      </c>
      <c r="D118" s="105">
        <v>79</v>
      </c>
      <c r="E118" s="105">
        <v>84.1</v>
      </c>
      <c r="F118" s="105">
        <v>84.5</v>
      </c>
      <c r="G118" s="105">
        <v>83.6</v>
      </c>
      <c r="H118" s="105">
        <v>83</v>
      </c>
      <c r="I118" s="105">
        <v>74.8</v>
      </c>
      <c r="J118" s="105">
        <v>81.599999999999994</v>
      </c>
      <c r="K118" s="105">
        <v>80</v>
      </c>
      <c r="L118" s="105">
        <v>79.099999999999994</v>
      </c>
      <c r="M118" s="105">
        <v>71</v>
      </c>
      <c r="N118" s="105">
        <v>71</v>
      </c>
      <c r="O118" s="105">
        <v>59</v>
      </c>
      <c r="P118" s="105">
        <v>73.3</v>
      </c>
      <c r="Q118" s="105">
        <v>73.3</v>
      </c>
      <c r="R118" s="105">
        <v>75</v>
      </c>
      <c r="S118" s="105">
        <v>77.099999999999994</v>
      </c>
      <c r="T118" s="105">
        <v>78.7</v>
      </c>
      <c r="U118" s="105">
        <v>81.3</v>
      </c>
      <c r="V118" s="105">
        <v>72.7</v>
      </c>
      <c r="W118" s="105">
        <v>61.1</v>
      </c>
      <c r="X118" s="105">
        <v>60</v>
      </c>
      <c r="Y118" s="105">
        <v>63</v>
      </c>
      <c r="Z118" s="105">
        <v>69.8</v>
      </c>
      <c r="AA118" s="105">
        <v>74.599999999999994</v>
      </c>
      <c r="AB118" s="105">
        <v>79.5</v>
      </c>
      <c r="AC118" s="105">
        <v>84.4</v>
      </c>
      <c r="AD118" s="105">
        <v>85.1</v>
      </c>
      <c r="AE118" s="105">
        <v>83</v>
      </c>
      <c r="AF118" s="105">
        <v>85.2</v>
      </c>
      <c r="AG118" s="118"/>
      <c r="AH118" s="47">
        <f t="shared" si="13"/>
        <v>85.2</v>
      </c>
      <c r="AI118" s="48">
        <f t="shared" si="14"/>
        <v>-23.6</v>
      </c>
    </row>
    <row r="119" spans="1:37" x14ac:dyDescent="0.25">
      <c r="A119" s="120" t="s">
        <v>127</v>
      </c>
      <c r="B119" s="105">
        <v>86.1</v>
      </c>
      <c r="C119" s="105">
        <v>101.7</v>
      </c>
      <c r="D119" s="105">
        <v>76</v>
      </c>
      <c r="E119" s="105">
        <v>81.7</v>
      </c>
      <c r="F119" s="105">
        <v>89.2</v>
      </c>
      <c r="G119" s="105">
        <v>72.599999999999994</v>
      </c>
      <c r="H119" s="105">
        <v>88.7</v>
      </c>
      <c r="I119" s="105">
        <v>78.5</v>
      </c>
      <c r="J119" s="105">
        <v>55.8</v>
      </c>
      <c r="K119" s="105">
        <v>52</v>
      </c>
      <c r="L119" s="105">
        <v>59.7</v>
      </c>
      <c r="M119" s="105">
        <v>64.3</v>
      </c>
      <c r="N119" s="105">
        <v>64.3</v>
      </c>
      <c r="O119" s="105">
        <v>60</v>
      </c>
      <c r="P119" s="105">
        <v>66</v>
      </c>
      <c r="Q119" s="105">
        <v>66</v>
      </c>
      <c r="R119" s="105">
        <v>58</v>
      </c>
      <c r="S119" s="105">
        <v>76.3</v>
      </c>
      <c r="T119" s="105">
        <v>57.1</v>
      </c>
      <c r="U119" s="105">
        <v>44.2</v>
      </c>
      <c r="V119" s="105">
        <v>44.8</v>
      </c>
      <c r="W119" s="105">
        <v>35.700000000000003</v>
      </c>
      <c r="X119" s="105">
        <v>53.4</v>
      </c>
      <c r="Y119" s="105">
        <v>70.2</v>
      </c>
      <c r="Z119" s="105">
        <v>66.5</v>
      </c>
      <c r="AA119" s="105">
        <v>56.6</v>
      </c>
      <c r="AB119" s="105">
        <v>49.9</v>
      </c>
      <c r="AC119" s="105">
        <v>60.3</v>
      </c>
      <c r="AD119" s="105">
        <v>64.7</v>
      </c>
      <c r="AE119" s="105">
        <v>58</v>
      </c>
      <c r="AF119" s="105">
        <v>55.7</v>
      </c>
      <c r="AG119" s="118"/>
      <c r="AH119" s="47">
        <f t="shared" si="13"/>
        <v>101.7</v>
      </c>
      <c r="AI119" s="48">
        <f t="shared" si="14"/>
        <v>35.700000000000003</v>
      </c>
    </row>
    <row r="120" spans="1:37" ht="15.75" thickBot="1" x14ac:dyDescent="0.3">
      <c r="A120" s="119" t="s">
        <v>128</v>
      </c>
      <c r="B120" s="105">
        <v>-14</v>
      </c>
      <c r="C120" s="105">
        <v>15</v>
      </c>
      <c r="D120" s="105">
        <v>32</v>
      </c>
      <c r="E120" s="105">
        <v>-26.8</v>
      </c>
      <c r="F120" s="105">
        <v>-23.6</v>
      </c>
      <c r="G120" s="105">
        <v>-29.8</v>
      </c>
      <c r="H120" s="105">
        <v>-30.7</v>
      </c>
      <c r="I120" s="105">
        <v>-33.1</v>
      </c>
      <c r="J120" s="105">
        <v>-29.2</v>
      </c>
      <c r="K120" s="105">
        <v>-27.6</v>
      </c>
      <c r="L120" s="105">
        <v>-21.8</v>
      </c>
      <c r="M120" s="105">
        <v>-20.100000000000001</v>
      </c>
      <c r="N120" s="105">
        <v>-20.100000000000001</v>
      </c>
      <c r="O120" s="105">
        <v>-17</v>
      </c>
      <c r="P120" s="105">
        <v>-30</v>
      </c>
      <c r="Q120" s="105">
        <v>-30</v>
      </c>
      <c r="R120" s="105">
        <v>-26</v>
      </c>
      <c r="S120" s="105">
        <v>-26.9</v>
      </c>
      <c r="T120" s="105">
        <v>-33.6</v>
      </c>
      <c r="U120" s="105">
        <v>-36.299999999999997</v>
      </c>
      <c r="V120" s="105">
        <v>-36.799999999999997</v>
      </c>
      <c r="W120" s="105">
        <v>-24.7</v>
      </c>
      <c r="X120" s="105">
        <v>-14.3</v>
      </c>
      <c r="Y120" s="105">
        <v>-17</v>
      </c>
      <c r="Z120" s="105">
        <v>-25.4</v>
      </c>
      <c r="AA120" s="105">
        <v>-28.9</v>
      </c>
      <c r="AB120" s="105">
        <v>-30.4</v>
      </c>
      <c r="AC120" s="105">
        <v>-36</v>
      </c>
      <c r="AD120" s="105">
        <v>-38.700000000000003</v>
      </c>
      <c r="AE120" s="105">
        <v>-41.9</v>
      </c>
      <c r="AF120" s="105">
        <v>-41.6</v>
      </c>
      <c r="AG120" s="118"/>
      <c r="AH120" s="47">
        <f t="shared" si="13"/>
        <v>32</v>
      </c>
      <c r="AI120" s="48">
        <f t="shared" si="14"/>
        <v>-41.9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5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5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8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8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8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8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8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8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8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8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8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8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8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8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8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8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8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8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8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8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8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8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8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8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8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8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8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8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8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8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9">SUM(B122:B226)</f>
        <v>0</v>
      </c>
      <c r="C227" s="136">
        <f t="shared" si="29"/>
        <v>0</v>
      </c>
      <c r="D227" s="136">
        <f t="shared" si="29"/>
        <v>0</v>
      </c>
      <c r="E227" s="136">
        <f t="shared" si="29"/>
        <v>0</v>
      </c>
      <c r="F227" s="136">
        <f t="shared" si="29"/>
        <v>0</v>
      </c>
      <c r="G227" s="136">
        <f t="shared" si="29"/>
        <v>0</v>
      </c>
      <c r="H227" s="136">
        <f t="shared" si="29"/>
        <v>0</v>
      </c>
      <c r="I227" s="136">
        <f t="shared" si="29"/>
        <v>0</v>
      </c>
      <c r="J227" s="136">
        <f t="shared" si="29"/>
        <v>0</v>
      </c>
      <c r="K227" s="136">
        <f t="shared" si="29"/>
        <v>0</v>
      </c>
      <c r="L227" s="136">
        <f t="shared" si="29"/>
        <v>0</v>
      </c>
      <c r="M227" s="136">
        <f t="shared" si="29"/>
        <v>0</v>
      </c>
      <c r="N227" s="136">
        <f t="shared" si="29"/>
        <v>0</v>
      </c>
      <c r="O227" s="136">
        <f t="shared" si="29"/>
        <v>0</v>
      </c>
      <c r="P227" s="136">
        <f t="shared" si="29"/>
        <v>0</v>
      </c>
      <c r="Q227" s="136">
        <f t="shared" si="29"/>
        <v>0</v>
      </c>
      <c r="R227" s="136">
        <f t="shared" si="29"/>
        <v>0</v>
      </c>
      <c r="S227" s="136">
        <f t="shared" si="29"/>
        <v>0</v>
      </c>
      <c r="T227" s="136">
        <f t="shared" si="29"/>
        <v>0</v>
      </c>
      <c r="U227" s="136">
        <f t="shared" si="29"/>
        <v>0</v>
      </c>
      <c r="V227" s="136">
        <f t="shared" si="29"/>
        <v>0</v>
      </c>
      <c r="W227" s="136">
        <f t="shared" si="29"/>
        <v>0</v>
      </c>
      <c r="X227" s="136">
        <f t="shared" si="29"/>
        <v>0</v>
      </c>
      <c r="Y227" s="136">
        <f t="shared" si="29"/>
        <v>0</v>
      </c>
      <c r="Z227" s="136">
        <f t="shared" si="29"/>
        <v>0</v>
      </c>
      <c r="AA227" s="136">
        <f t="shared" si="29"/>
        <v>0</v>
      </c>
      <c r="AB227" s="136">
        <f t="shared" si="29"/>
        <v>0</v>
      </c>
      <c r="AC227" s="136">
        <f t="shared" si="29"/>
        <v>0</v>
      </c>
      <c r="AD227" s="136">
        <f t="shared" si="29"/>
        <v>0</v>
      </c>
      <c r="AE227" s="136">
        <f t="shared" si="29"/>
        <v>0</v>
      </c>
      <c r="AF227" s="137">
        <f t="shared" si="29"/>
        <v>0</v>
      </c>
      <c r="AG227" s="138">
        <f t="shared" si="2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30">AF229</f>
        <v>0</v>
      </c>
      <c r="C229" s="140">
        <v>0.3</v>
      </c>
      <c r="D229" s="140">
        <f t="shared" ref="D229:P234" si="31">C229</f>
        <v>0.3</v>
      </c>
      <c r="E229" s="140">
        <f t="shared" si="31"/>
        <v>0.3</v>
      </c>
      <c r="F229" s="140">
        <f t="shared" si="31"/>
        <v>0.3</v>
      </c>
      <c r="G229" s="140">
        <f t="shared" si="31"/>
        <v>0.3</v>
      </c>
      <c r="H229" s="140">
        <f t="shared" si="31"/>
        <v>0.3</v>
      </c>
      <c r="I229" s="140">
        <f t="shared" si="31"/>
        <v>0.3</v>
      </c>
      <c r="J229" s="140">
        <f t="shared" si="31"/>
        <v>0.3</v>
      </c>
      <c r="K229" s="140">
        <f t="shared" si="31"/>
        <v>0.3</v>
      </c>
      <c r="L229" s="140">
        <f t="shared" si="31"/>
        <v>0.3</v>
      </c>
      <c r="M229" s="140">
        <f t="shared" si="31"/>
        <v>0.3</v>
      </c>
      <c r="N229" s="140">
        <f t="shared" si="31"/>
        <v>0.3</v>
      </c>
      <c r="O229" s="140">
        <f t="shared" si="31"/>
        <v>0.3</v>
      </c>
      <c r="P229" s="140">
        <f t="shared" si="3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30"/>
        <v>0</v>
      </c>
      <c r="C230" s="128">
        <v>0.4</v>
      </c>
      <c r="D230" s="128">
        <f t="shared" si="31"/>
        <v>0.4</v>
      </c>
      <c r="E230" s="128">
        <f t="shared" si="31"/>
        <v>0.4</v>
      </c>
      <c r="F230" s="128">
        <f t="shared" si="31"/>
        <v>0.4</v>
      </c>
      <c r="G230" s="128">
        <f t="shared" si="31"/>
        <v>0.4</v>
      </c>
      <c r="H230" s="128">
        <f t="shared" si="31"/>
        <v>0.4</v>
      </c>
      <c r="I230" s="128">
        <f t="shared" si="31"/>
        <v>0.4</v>
      </c>
      <c r="J230" s="128">
        <f t="shared" si="31"/>
        <v>0.4</v>
      </c>
      <c r="K230" s="128">
        <f t="shared" si="31"/>
        <v>0.4</v>
      </c>
      <c r="L230" s="128">
        <f t="shared" si="31"/>
        <v>0.4</v>
      </c>
      <c r="M230" s="128">
        <f t="shared" si="31"/>
        <v>0.4</v>
      </c>
      <c r="N230" s="128">
        <f t="shared" si="31"/>
        <v>0.4</v>
      </c>
      <c r="O230" s="128">
        <f t="shared" si="31"/>
        <v>0.4</v>
      </c>
      <c r="P230" s="128">
        <f t="shared" si="3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30"/>
        <v>0</v>
      </c>
      <c r="C231" s="128">
        <v>1.5</v>
      </c>
      <c r="D231" s="128">
        <f t="shared" si="31"/>
        <v>1.5</v>
      </c>
      <c r="E231" s="128">
        <f t="shared" si="31"/>
        <v>1.5</v>
      </c>
      <c r="F231" s="128">
        <f t="shared" si="31"/>
        <v>1.5</v>
      </c>
      <c r="G231" s="128">
        <f t="shared" si="31"/>
        <v>1.5</v>
      </c>
      <c r="H231" s="128">
        <f t="shared" si="3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1"/>
        <v>123.21900000000009</v>
      </c>
      <c r="K231" s="128">
        <f t="shared" ca="1" si="31"/>
        <v>123.21900000000009</v>
      </c>
      <c r="L231" s="128">
        <f t="shared" ca="1" si="31"/>
        <v>123.21900000000009</v>
      </c>
      <c r="M231" s="128">
        <f t="shared" ca="1" si="31"/>
        <v>119.19900000000008</v>
      </c>
      <c r="N231" s="128">
        <f t="shared" ca="1" si="31"/>
        <v>119.19900000000008</v>
      </c>
      <c r="O231" s="128">
        <f t="shared" ca="1" si="31"/>
        <v>119.19900000000008</v>
      </c>
      <c r="P231" s="128">
        <f t="shared" ca="1" si="3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30"/>
        <v>0</v>
      </c>
      <c r="C232" s="128">
        <v>0.3</v>
      </c>
      <c r="D232" s="128">
        <f t="shared" si="31"/>
        <v>0.3</v>
      </c>
      <c r="E232" s="128">
        <f t="shared" si="31"/>
        <v>0.3</v>
      </c>
      <c r="F232" s="128">
        <f t="shared" si="31"/>
        <v>0.3</v>
      </c>
      <c r="G232" s="128">
        <f t="shared" si="31"/>
        <v>0.3</v>
      </c>
      <c r="H232" s="128">
        <f t="shared" si="31"/>
        <v>0.3</v>
      </c>
      <c r="I232" s="128">
        <f t="shared" si="31"/>
        <v>0.3</v>
      </c>
      <c r="J232" s="128">
        <f t="shared" si="31"/>
        <v>0.3</v>
      </c>
      <c r="K232" s="128">
        <f t="shared" si="31"/>
        <v>0.3</v>
      </c>
      <c r="L232" s="128">
        <f t="shared" si="31"/>
        <v>0.3</v>
      </c>
      <c r="M232" s="128">
        <f t="shared" si="31"/>
        <v>0.3</v>
      </c>
      <c r="N232" s="128">
        <f t="shared" si="31"/>
        <v>0.3</v>
      </c>
      <c r="O232" s="128">
        <f t="shared" si="31"/>
        <v>0.3</v>
      </c>
      <c r="P232" s="128">
        <f t="shared" si="3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30"/>
        <v>0</v>
      </c>
      <c r="C233" s="128">
        <v>0.4</v>
      </c>
      <c r="D233" s="128">
        <f t="shared" si="31"/>
        <v>0.4</v>
      </c>
      <c r="E233" s="128">
        <f t="shared" si="31"/>
        <v>0.4</v>
      </c>
      <c r="F233" s="128">
        <f t="shared" si="31"/>
        <v>0.4</v>
      </c>
      <c r="G233" s="128">
        <f t="shared" si="31"/>
        <v>0.4</v>
      </c>
      <c r="H233" s="128">
        <f t="shared" si="31"/>
        <v>0.4</v>
      </c>
      <c r="I233" s="128">
        <f t="shared" si="31"/>
        <v>0.4</v>
      </c>
      <c r="J233" s="128">
        <f t="shared" si="31"/>
        <v>0.4</v>
      </c>
      <c r="K233" s="128">
        <f t="shared" si="31"/>
        <v>0.4</v>
      </c>
      <c r="L233" s="128">
        <f t="shared" si="31"/>
        <v>0.4</v>
      </c>
      <c r="M233" s="128">
        <f t="shared" si="31"/>
        <v>0.4</v>
      </c>
      <c r="N233" s="128">
        <f t="shared" si="31"/>
        <v>0.4</v>
      </c>
      <c r="O233" s="128">
        <f t="shared" si="31"/>
        <v>0.4</v>
      </c>
      <c r="P233" s="128">
        <f t="shared" si="3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30"/>
        <v>0</v>
      </c>
      <c r="C234" s="132">
        <v>0.64</v>
      </c>
      <c r="D234" s="132">
        <f t="shared" si="31"/>
        <v>0.64</v>
      </c>
      <c r="E234" s="132">
        <f t="shared" si="31"/>
        <v>0.64</v>
      </c>
      <c r="F234" s="132">
        <f t="shared" si="31"/>
        <v>0.64</v>
      </c>
      <c r="G234" s="132">
        <f t="shared" si="31"/>
        <v>0.64</v>
      </c>
      <c r="H234" s="132">
        <f t="shared" si="31"/>
        <v>0.64</v>
      </c>
      <c r="I234" s="132">
        <f t="shared" si="31"/>
        <v>0.64</v>
      </c>
      <c r="J234" s="132">
        <f t="shared" si="31"/>
        <v>0.64</v>
      </c>
      <c r="K234" s="132">
        <f t="shared" si="31"/>
        <v>0.64</v>
      </c>
      <c r="L234" s="132">
        <f t="shared" si="31"/>
        <v>0.64</v>
      </c>
      <c r="M234" s="132">
        <f t="shared" si="31"/>
        <v>0.64</v>
      </c>
      <c r="N234" s="132">
        <f t="shared" si="31"/>
        <v>0.64</v>
      </c>
      <c r="O234" s="132">
        <f t="shared" si="31"/>
        <v>0.64</v>
      </c>
      <c r="P234" s="132">
        <f t="shared" si="3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2">SUM(B229:B234)</f>
        <v>0</v>
      </c>
      <c r="C235" s="136">
        <f t="shared" si="32"/>
        <v>3.54</v>
      </c>
      <c r="D235" s="136">
        <f t="shared" si="32"/>
        <v>3.54</v>
      </c>
      <c r="E235" s="136">
        <f t="shared" si="32"/>
        <v>3.54</v>
      </c>
      <c r="F235" s="136">
        <f t="shared" si="32"/>
        <v>3.54</v>
      </c>
      <c r="G235" s="136">
        <f t="shared" si="32"/>
        <v>3.54</v>
      </c>
      <c r="H235" s="136">
        <f t="shared" si="32"/>
        <v>3.54</v>
      </c>
      <c r="I235" s="136">
        <f t="shared" ca="1" si="32"/>
        <v>121.23900000000009</v>
      </c>
      <c r="J235" s="136">
        <f t="shared" ca="1" si="32"/>
        <v>121.23900000000009</v>
      </c>
      <c r="K235" s="136">
        <f t="shared" ca="1" si="32"/>
        <v>121.23900000000009</v>
      </c>
      <c r="L235" s="136">
        <f t="shared" ca="1" si="32"/>
        <v>125.2590000000001</v>
      </c>
      <c r="M235" s="136">
        <f t="shared" ca="1" si="32"/>
        <v>121.23900000000009</v>
      </c>
      <c r="N235" s="136">
        <f t="shared" ca="1" si="32"/>
        <v>121.23900000000009</v>
      </c>
      <c r="O235" s="136">
        <f t="shared" ca="1" si="32"/>
        <v>121.23900000000009</v>
      </c>
      <c r="P235" s="136">
        <f t="shared" ca="1" si="32"/>
        <v>121.23900000000009</v>
      </c>
      <c r="Q235" s="136">
        <f t="shared" si="32"/>
        <v>0</v>
      </c>
      <c r="R235" s="136">
        <f t="shared" si="32"/>
        <v>0</v>
      </c>
      <c r="S235" s="136">
        <f t="shared" si="32"/>
        <v>0</v>
      </c>
      <c r="T235" s="136">
        <f t="shared" si="32"/>
        <v>0</v>
      </c>
      <c r="U235" s="136">
        <f t="shared" si="32"/>
        <v>0</v>
      </c>
      <c r="V235" s="136">
        <f t="shared" si="32"/>
        <v>0</v>
      </c>
      <c r="W235" s="136">
        <f t="shared" si="32"/>
        <v>0</v>
      </c>
      <c r="X235" s="136">
        <f t="shared" si="32"/>
        <v>0</v>
      </c>
      <c r="Y235" s="136">
        <f t="shared" si="32"/>
        <v>0</v>
      </c>
      <c r="Z235" s="136">
        <f t="shared" si="32"/>
        <v>0</v>
      </c>
      <c r="AA235" s="136">
        <f t="shared" si="32"/>
        <v>0</v>
      </c>
      <c r="AB235" s="136">
        <f t="shared" si="32"/>
        <v>0</v>
      </c>
      <c r="AC235" s="136">
        <f t="shared" si="32"/>
        <v>0</v>
      </c>
      <c r="AD235" s="136">
        <f t="shared" si="32"/>
        <v>0</v>
      </c>
      <c r="AE235" s="136">
        <f t="shared" si="32"/>
        <v>0</v>
      </c>
      <c r="AF235" s="136">
        <f t="shared" si="32"/>
        <v>0</v>
      </c>
      <c r="AG235" s="145">
        <f t="shared" si="3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2158.34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17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2080/06/17)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2080/06/17)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3">B91</f>
        <v>2050.2400000000002</v>
      </c>
      <c r="U249" s="170">
        <f t="shared" si="33"/>
        <v>2056.84</v>
      </c>
      <c r="V249" s="170">
        <f t="shared" si="33"/>
        <v>2008.74</v>
      </c>
      <c r="W249" s="170">
        <f t="shared" si="33"/>
        <v>2019.5400000000002</v>
      </c>
      <c r="X249" s="170">
        <f t="shared" si="33"/>
        <v>2024.3400000000001</v>
      </c>
      <c r="Y249" s="170">
        <f t="shared" si="33"/>
        <v>2004.3400000000001</v>
      </c>
      <c r="Z249" s="170">
        <f t="shared" si="33"/>
        <v>2050.6400000000003</v>
      </c>
      <c r="AA249" s="170">
        <f t="shared" si="33"/>
        <v>2034.44</v>
      </c>
      <c r="AB249" s="170">
        <f t="shared" si="33"/>
        <v>2032.04</v>
      </c>
      <c r="AC249" s="170">
        <f t="shared" si="33"/>
        <v>2074.04</v>
      </c>
      <c r="AD249" s="170">
        <f t="shared" si="33"/>
        <v>2158.34</v>
      </c>
      <c r="AE249" s="170">
        <f t="shared" si="33"/>
        <v>2124.6400000000003</v>
      </c>
      <c r="AF249" s="170">
        <f t="shared" si="33"/>
        <v>2124.6400000000003</v>
      </c>
      <c r="AG249" s="170">
        <f t="shared" si="33"/>
        <v>2107.6400000000003</v>
      </c>
      <c r="AH249" s="170">
        <f t="shared" si="33"/>
        <v>2122.6400000000003</v>
      </c>
      <c r="AI249" s="170">
        <f t="shared" si="33"/>
        <v>2122.6400000000003</v>
      </c>
      <c r="AJ249" s="170">
        <f t="shared" si="33"/>
        <v>2085.6400000000003</v>
      </c>
      <c r="AK249" s="170">
        <f t="shared" si="33"/>
        <v>2050.5700000000002</v>
      </c>
      <c r="AL249" s="170">
        <f t="shared" si="33"/>
        <v>2011.54</v>
      </c>
      <c r="AM249" s="170">
        <f t="shared" si="33"/>
        <v>2004.94</v>
      </c>
      <c r="AN249" s="170">
        <f t="shared" si="33"/>
        <v>2047.24</v>
      </c>
      <c r="AO249" s="170">
        <f t="shared" si="33"/>
        <v>2075.34</v>
      </c>
      <c r="AP249" s="170">
        <f t="shared" si="33"/>
        <v>2127.54</v>
      </c>
      <c r="AQ249" s="170">
        <f t="shared" si="33"/>
        <v>2186.67</v>
      </c>
      <c r="AR249" s="170">
        <f t="shared" si="33"/>
        <v>2185.5700000000002</v>
      </c>
      <c r="AS249" s="170">
        <f t="shared" si="33"/>
        <v>2128.27</v>
      </c>
      <c r="AT249" s="170">
        <f t="shared" si="33"/>
        <v>2015.7399999999998</v>
      </c>
      <c r="AU249" s="170">
        <f t="shared" si="33"/>
        <v>1994.04</v>
      </c>
      <c r="AV249" s="170">
        <f t="shared" si="33"/>
        <v>1994.04</v>
      </c>
      <c r="AW249" s="170">
        <f t="shared" si="33"/>
        <v>1969.8400000000001</v>
      </c>
      <c r="AX249" s="170">
        <f t="shared" si="33"/>
        <v>1930.8400000000001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4">C234</f>
        <v>0.64</v>
      </c>
      <c r="C270" s="173">
        <f t="shared" si="34"/>
        <v>0.64</v>
      </c>
      <c r="D270" s="173">
        <f t="shared" si="34"/>
        <v>0.64</v>
      </c>
      <c r="E270" s="173">
        <f t="shared" si="34"/>
        <v>0.64</v>
      </c>
      <c r="F270" s="173">
        <f t="shared" si="34"/>
        <v>0.64</v>
      </c>
      <c r="G270" s="173">
        <f t="shared" si="34"/>
        <v>0.64</v>
      </c>
      <c r="H270" s="173">
        <f t="shared" si="34"/>
        <v>0.64</v>
      </c>
      <c r="I270" s="173">
        <f t="shared" si="34"/>
        <v>0.64</v>
      </c>
      <c r="J270" s="173">
        <f t="shared" si="34"/>
        <v>0.64</v>
      </c>
      <c r="K270" s="173">
        <f t="shared" si="34"/>
        <v>0.64</v>
      </c>
      <c r="L270" s="173">
        <f t="shared" si="34"/>
        <v>0.64</v>
      </c>
      <c r="M270" s="173">
        <f t="shared" si="34"/>
        <v>0.64</v>
      </c>
      <c r="N270" s="173">
        <f t="shared" si="34"/>
        <v>0.64</v>
      </c>
      <c r="O270" s="173">
        <f t="shared" si="34"/>
        <v>0.64</v>
      </c>
      <c r="P270" s="173">
        <f t="shared" si="34"/>
        <v>0</v>
      </c>
      <c r="Q270" s="173">
        <f t="shared" si="34"/>
        <v>0</v>
      </c>
      <c r="R270" s="173">
        <f t="shared" si="34"/>
        <v>0</v>
      </c>
      <c r="S270" s="173">
        <f t="shared" si="34"/>
        <v>0</v>
      </c>
      <c r="T270" s="173">
        <f t="shared" si="34"/>
        <v>0</v>
      </c>
      <c r="U270" s="173">
        <f t="shared" si="34"/>
        <v>0</v>
      </c>
      <c r="V270" s="173">
        <f t="shared" si="34"/>
        <v>0</v>
      </c>
      <c r="W270" s="173">
        <f t="shared" si="34"/>
        <v>0</v>
      </c>
      <c r="X270" s="173">
        <f t="shared" si="34"/>
        <v>0</v>
      </c>
      <c r="Y270" s="173">
        <f t="shared" si="34"/>
        <v>0</v>
      </c>
      <c r="Z270" s="173">
        <f t="shared" si="34"/>
        <v>0</v>
      </c>
      <c r="AA270" s="173">
        <f t="shared" si="34"/>
        <v>0</v>
      </c>
      <c r="AB270" s="173">
        <f t="shared" si="34"/>
        <v>0</v>
      </c>
      <c r="AC270" s="173">
        <f t="shared" si="34"/>
        <v>0</v>
      </c>
      <c r="AD270" s="173">
        <f t="shared" si="34"/>
        <v>0</v>
      </c>
      <c r="AE270" s="173">
        <f t="shared" si="3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5">IF(B238&lt;100,"",B238-520)</f>
        <v/>
      </c>
      <c r="C271" s="174" t="str">
        <f t="shared" si="35"/>
        <v/>
      </c>
      <c r="D271" s="174" t="str">
        <f t="shared" si="35"/>
        <v/>
      </c>
      <c r="E271" s="174" t="str">
        <f t="shared" si="35"/>
        <v/>
      </c>
      <c r="F271" s="174" t="str">
        <f t="shared" si="35"/>
        <v/>
      </c>
      <c r="G271" s="174" t="str">
        <f t="shared" si="35"/>
        <v/>
      </c>
      <c r="H271" s="174" t="str">
        <f t="shared" si="35"/>
        <v/>
      </c>
      <c r="I271" s="174" t="str">
        <f t="shared" si="35"/>
        <v/>
      </c>
      <c r="J271" s="174" t="str">
        <f t="shared" si="35"/>
        <v/>
      </c>
      <c r="K271" s="174" t="str">
        <f t="shared" si="35"/>
        <v/>
      </c>
      <c r="L271" s="174" t="str">
        <f t="shared" si="35"/>
        <v/>
      </c>
      <c r="M271" s="174" t="str">
        <f t="shared" si="35"/>
        <v/>
      </c>
      <c r="N271" s="174" t="str">
        <f t="shared" si="35"/>
        <v/>
      </c>
      <c r="O271" s="174" t="str">
        <f t="shared" si="35"/>
        <v/>
      </c>
      <c r="P271" s="174" t="str">
        <f t="shared" si="35"/>
        <v/>
      </c>
      <c r="Q271" s="174" t="str">
        <f t="shared" si="35"/>
        <v/>
      </c>
      <c r="R271" s="174" t="str">
        <f t="shared" si="35"/>
        <v/>
      </c>
      <c r="S271" s="174" t="str">
        <f t="shared" si="35"/>
        <v/>
      </c>
      <c r="T271" s="174" t="str">
        <f t="shared" si="35"/>
        <v/>
      </c>
      <c r="U271" s="174" t="str">
        <f t="shared" si="35"/>
        <v/>
      </c>
      <c r="V271" s="174" t="str">
        <f t="shared" si="35"/>
        <v/>
      </c>
      <c r="W271" s="174" t="str">
        <f t="shared" si="35"/>
        <v/>
      </c>
      <c r="X271" s="174" t="str">
        <f t="shared" si="35"/>
        <v/>
      </c>
      <c r="Y271" s="174" t="str">
        <f t="shared" si="35"/>
        <v/>
      </c>
      <c r="Z271" s="174" t="str">
        <f t="shared" si="35"/>
        <v/>
      </c>
      <c r="AA271" s="174" t="str">
        <f t="shared" si="35"/>
        <v/>
      </c>
      <c r="AB271" s="174" t="str">
        <f t="shared" si="35"/>
        <v/>
      </c>
      <c r="AC271" s="174" t="str">
        <f t="shared" si="35"/>
        <v/>
      </c>
      <c r="AD271" s="174" t="str">
        <f t="shared" si="35"/>
        <v/>
      </c>
      <c r="AE271" s="174" t="str">
        <f t="shared" si="35"/>
        <v/>
      </c>
      <c r="AF271" s="174" t="str">
        <f t="shared" si="3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6">IF(B239&lt;100,"",B239-620)</f>
        <v/>
      </c>
      <c r="C272" s="174" t="str">
        <f t="shared" si="36"/>
        <v/>
      </c>
      <c r="D272" s="174" t="str">
        <f t="shared" si="36"/>
        <v/>
      </c>
      <c r="E272" s="174" t="str">
        <f t="shared" si="36"/>
        <v/>
      </c>
      <c r="F272" s="174" t="str">
        <f t="shared" si="36"/>
        <v/>
      </c>
      <c r="G272" s="174" t="str">
        <f t="shared" si="36"/>
        <v/>
      </c>
      <c r="H272" s="174" t="str">
        <f t="shared" si="36"/>
        <v/>
      </c>
      <c r="I272" s="174" t="str">
        <f t="shared" si="36"/>
        <v/>
      </c>
      <c r="J272" s="174" t="str">
        <f t="shared" si="36"/>
        <v/>
      </c>
      <c r="K272" s="174" t="str">
        <f t="shared" si="36"/>
        <v/>
      </c>
      <c r="L272" s="174" t="str">
        <f t="shared" si="36"/>
        <v/>
      </c>
      <c r="M272" s="174" t="str">
        <f t="shared" si="36"/>
        <v/>
      </c>
      <c r="N272" s="174" t="str">
        <f t="shared" si="36"/>
        <v/>
      </c>
      <c r="O272" s="174" t="str">
        <f t="shared" si="36"/>
        <v/>
      </c>
      <c r="P272" s="174" t="str">
        <f t="shared" si="36"/>
        <v/>
      </c>
      <c r="Q272" s="174" t="str">
        <f t="shared" si="36"/>
        <v/>
      </c>
      <c r="R272" s="174" t="str">
        <f t="shared" si="36"/>
        <v/>
      </c>
      <c r="S272" s="174" t="str">
        <f t="shared" si="36"/>
        <v/>
      </c>
      <c r="T272" s="174" t="str">
        <f t="shared" si="36"/>
        <v/>
      </c>
      <c r="U272" s="174" t="str">
        <f t="shared" si="36"/>
        <v/>
      </c>
      <c r="V272" s="174" t="str">
        <f t="shared" si="36"/>
        <v/>
      </c>
      <c r="W272" s="174" t="str">
        <f t="shared" si="36"/>
        <v/>
      </c>
      <c r="X272" s="174" t="str">
        <f t="shared" si="36"/>
        <v/>
      </c>
      <c r="Y272" s="174" t="str">
        <f t="shared" si="36"/>
        <v/>
      </c>
      <c r="Z272" s="174" t="str">
        <f t="shared" si="36"/>
        <v/>
      </c>
      <c r="AA272" s="174" t="str">
        <f t="shared" si="36"/>
        <v/>
      </c>
      <c r="AB272" s="174" t="str">
        <f t="shared" si="36"/>
        <v/>
      </c>
      <c r="AC272" s="174" t="str">
        <f t="shared" si="36"/>
        <v/>
      </c>
      <c r="AD272" s="174" t="str">
        <f t="shared" si="36"/>
        <v/>
      </c>
      <c r="AE272" s="174" t="str">
        <f t="shared" si="36"/>
        <v/>
      </c>
      <c r="AF272" s="174" t="str">
        <f t="shared" si="3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7">IF(B240&lt;100,"",B240-330)</f>
        <v/>
      </c>
      <c r="C273" s="174" t="str">
        <f t="shared" si="37"/>
        <v/>
      </c>
      <c r="D273" s="174" t="str">
        <f t="shared" si="37"/>
        <v/>
      </c>
      <c r="E273" s="174" t="str">
        <f t="shared" si="37"/>
        <v/>
      </c>
      <c r="F273" s="174" t="str">
        <f t="shared" si="37"/>
        <v/>
      </c>
      <c r="G273" s="174" t="str">
        <f t="shared" si="37"/>
        <v/>
      </c>
      <c r="H273" s="174" t="str">
        <f t="shared" si="37"/>
        <v/>
      </c>
      <c r="I273" s="174" t="str">
        <f t="shared" si="37"/>
        <v/>
      </c>
      <c r="J273" s="174" t="str">
        <f t="shared" si="37"/>
        <v/>
      </c>
      <c r="K273" s="174" t="str">
        <f t="shared" si="37"/>
        <v/>
      </c>
      <c r="L273" s="174" t="str">
        <f t="shared" si="37"/>
        <v/>
      </c>
      <c r="M273" s="174" t="str">
        <f t="shared" si="37"/>
        <v/>
      </c>
      <c r="N273" s="174" t="str">
        <f t="shared" si="37"/>
        <v/>
      </c>
      <c r="O273" s="174" t="str">
        <f t="shared" si="37"/>
        <v/>
      </c>
      <c r="P273" s="174" t="str">
        <f t="shared" si="37"/>
        <v/>
      </c>
      <c r="Q273" s="174" t="str">
        <f t="shared" si="37"/>
        <v/>
      </c>
      <c r="R273" s="174" t="str">
        <f t="shared" si="37"/>
        <v/>
      </c>
      <c r="S273" s="174" t="str">
        <f t="shared" si="37"/>
        <v/>
      </c>
      <c r="T273" s="174" t="str">
        <f t="shared" si="37"/>
        <v/>
      </c>
      <c r="U273" s="174" t="str">
        <f t="shared" si="37"/>
        <v/>
      </c>
      <c r="V273" s="174" t="str">
        <f t="shared" si="37"/>
        <v/>
      </c>
      <c r="W273" s="174" t="str">
        <f t="shared" si="37"/>
        <v/>
      </c>
      <c r="X273" s="174" t="str">
        <f t="shared" si="37"/>
        <v/>
      </c>
      <c r="Y273" s="174" t="str">
        <f t="shared" si="37"/>
        <v/>
      </c>
      <c r="Z273" s="174" t="str">
        <f t="shared" si="37"/>
        <v/>
      </c>
      <c r="AA273" s="174" t="str">
        <f t="shared" si="37"/>
        <v/>
      </c>
      <c r="AB273" s="174" t="str">
        <f t="shared" si="37"/>
        <v/>
      </c>
      <c r="AC273" s="174" t="str">
        <f t="shared" si="37"/>
        <v/>
      </c>
      <c r="AD273" s="174" t="str">
        <f t="shared" si="37"/>
        <v/>
      </c>
      <c r="AE273" s="174" t="str">
        <f t="shared" si="37"/>
        <v/>
      </c>
      <c r="AF273" s="174" t="str">
        <f t="shared" si="3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8">IF(B241&lt;100,"",B241-1500)</f>
        <v/>
      </c>
      <c r="C274" s="174" t="str">
        <f t="shared" si="38"/>
        <v/>
      </c>
      <c r="D274" s="174" t="str">
        <f t="shared" si="38"/>
        <v/>
      </c>
      <c r="E274" s="174" t="str">
        <f t="shared" si="38"/>
        <v/>
      </c>
      <c r="F274" s="174" t="str">
        <f t="shared" si="38"/>
        <v/>
      </c>
      <c r="G274" s="174" t="str">
        <f t="shared" si="38"/>
        <v/>
      </c>
      <c r="H274" s="174" t="str">
        <f t="shared" si="38"/>
        <v/>
      </c>
      <c r="I274" s="174" t="str">
        <f t="shared" si="38"/>
        <v/>
      </c>
      <c r="J274" s="174" t="str">
        <f t="shared" si="38"/>
        <v/>
      </c>
      <c r="K274" s="174" t="str">
        <f t="shared" si="38"/>
        <v/>
      </c>
      <c r="L274" s="174" t="str">
        <f t="shared" si="38"/>
        <v/>
      </c>
      <c r="M274" s="174" t="str">
        <f t="shared" si="38"/>
        <v/>
      </c>
      <c r="N274" s="174" t="str">
        <f t="shared" si="38"/>
        <v/>
      </c>
      <c r="O274" s="174" t="str">
        <f t="shared" si="38"/>
        <v/>
      </c>
      <c r="P274" s="174" t="str">
        <f t="shared" si="38"/>
        <v/>
      </c>
      <c r="Q274" s="174" t="str">
        <f t="shared" si="38"/>
        <v/>
      </c>
      <c r="R274" s="174" t="str">
        <f t="shared" si="38"/>
        <v/>
      </c>
      <c r="S274" s="174" t="str">
        <f t="shared" si="38"/>
        <v/>
      </c>
      <c r="T274" s="174" t="str">
        <f t="shared" si="38"/>
        <v/>
      </c>
      <c r="U274" s="174" t="str">
        <f t="shared" si="38"/>
        <v/>
      </c>
      <c r="V274" s="174" t="str">
        <f t="shared" si="38"/>
        <v/>
      </c>
      <c r="W274" s="174" t="str">
        <f t="shared" si="38"/>
        <v/>
      </c>
      <c r="X274" s="174" t="str">
        <f t="shared" si="38"/>
        <v/>
      </c>
      <c r="Y274" s="174" t="str">
        <f t="shared" si="38"/>
        <v/>
      </c>
      <c r="Z274" s="174" t="str">
        <f t="shared" si="38"/>
        <v/>
      </c>
      <c r="AA274" s="174" t="str">
        <f t="shared" si="38"/>
        <v/>
      </c>
      <c r="AB274" s="174" t="str">
        <f t="shared" si="38"/>
        <v/>
      </c>
      <c r="AC274" s="174" t="str">
        <f t="shared" si="38"/>
        <v/>
      </c>
      <c r="AD274" s="174" t="str">
        <f t="shared" si="38"/>
        <v/>
      </c>
      <c r="AE274" s="174" t="str">
        <f t="shared" si="38"/>
        <v/>
      </c>
      <c r="AF274" s="174" t="str">
        <f t="shared" si="3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  <row r="307" spans="25:25" x14ac:dyDescent="0.25">
      <c r="Y307" s="184">
        <f>1203/24</f>
        <v>50.125</v>
      </c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901" priority="78">
      <formula>$AH11=0</formula>
    </cfRule>
  </conditionalFormatting>
  <conditionalFormatting sqref="B8 M8 S8 AB8">
    <cfRule type="expression" dxfId="1900" priority="129">
      <formula>AND(C$9&gt;=14/24,C$9&lt;20/24)</formula>
    </cfRule>
    <cfRule type="expression" dxfId="1899" priority="130">
      <formula>AND(C$9&gt;=8/24,C$9&lt;14/24)</formula>
    </cfRule>
    <cfRule type="expression" dxfId="1898" priority="131">
      <formula>C$9&lt;8/24</formula>
    </cfRule>
  </conditionalFormatting>
  <conditionalFormatting sqref="B54:C54">
    <cfRule type="expression" dxfId="1897" priority="52">
      <formula>B$9&gt;=20/24</formula>
    </cfRule>
    <cfRule type="expression" dxfId="1896" priority="53">
      <formula>AND(B$9&gt;=14/24,B$9&lt;20/24)</formula>
    </cfRule>
    <cfRule type="expression" dxfId="1895" priority="54">
      <formula>AND(B$9&gt;=8/24,B$9&lt;14/24)</formula>
    </cfRule>
    <cfRule type="expression" dxfId="1894" priority="55">
      <formula>B$9&lt;8/24</formula>
    </cfRule>
  </conditionalFormatting>
  <conditionalFormatting sqref="B54:C54">
    <cfRule type="expression" dxfId="1893" priority="47">
      <formula>B54&gt;$AG54</formula>
    </cfRule>
  </conditionalFormatting>
  <conditionalFormatting sqref="F60:X60">
    <cfRule type="expression" dxfId="1892" priority="65">
      <formula>F$9&gt;=20/24</formula>
    </cfRule>
    <cfRule type="expression" dxfId="1891" priority="66">
      <formula>AND(F$9&gt;=14/24,F$9&lt;20/24)</formula>
    </cfRule>
    <cfRule type="expression" dxfId="1890" priority="67">
      <formula>AND(F$9&gt;=8/24,F$9&lt;14/24)</formula>
    </cfRule>
    <cfRule type="expression" dxfId="1889" priority="68">
      <formula>F$9&lt;8/24</formula>
    </cfRule>
  </conditionalFormatting>
  <conditionalFormatting sqref="F61:X61 Y61:AF66">
    <cfRule type="expression" dxfId="1888" priority="48">
      <formula>F$9&gt;=20/24</formula>
    </cfRule>
    <cfRule type="expression" dxfId="1887" priority="49">
      <formula>AND(F$9&gt;=14/24,F$9&lt;20/24)</formula>
    </cfRule>
    <cfRule type="expression" dxfId="1886" priority="50">
      <formula>AND(F$9&gt;=8/24,F$9&lt;14/24)</formula>
    </cfRule>
    <cfRule type="expression" dxfId="1885" priority="51">
      <formula>F$9&lt;8/24</formula>
    </cfRule>
  </conditionalFormatting>
  <conditionalFormatting sqref="B9:AF45">
    <cfRule type="expression" dxfId="1884" priority="37">
      <formula>B$9&gt;=20/24</formula>
    </cfRule>
    <cfRule type="expression" dxfId="1883" priority="38">
      <formula>AND(B$9&gt;=14/24,B$9&lt;20/24)</formula>
    </cfRule>
    <cfRule type="expression" dxfId="1882" priority="39">
      <formula>AND(B$9&gt;=8/24,B$9&lt;14/24)</formula>
    </cfRule>
    <cfRule type="expression" dxfId="1881" priority="40">
      <formula>B$9&lt;8/24</formula>
    </cfRule>
  </conditionalFormatting>
  <conditionalFormatting sqref="B11:AF46">
    <cfRule type="expression" dxfId="1880" priority="36">
      <formula>B11&gt;$AG11</formula>
    </cfRule>
  </conditionalFormatting>
  <conditionalFormatting sqref="B46:AF46">
    <cfRule type="expression" dxfId="1879" priority="32">
      <formula>B$9&gt;=20/24</formula>
    </cfRule>
    <cfRule type="expression" dxfId="1878" priority="33">
      <formula>AND(B$9&gt;=14/24,B$9&lt;20/24)</formula>
    </cfRule>
    <cfRule type="expression" dxfId="1877" priority="34">
      <formula>AND(B$9&gt;=8/24,B$9&lt;14/24)</formula>
    </cfRule>
    <cfRule type="expression" dxfId="1876" priority="35">
      <formula>B$9&lt;8/24</formula>
    </cfRule>
  </conditionalFormatting>
  <conditionalFormatting sqref="B47:AF47">
    <cfRule type="expression" dxfId="1875" priority="46">
      <formula>B47&gt;$AG47</formula>
    </cfRule>
  </conditionalFormatting>
  <conditionalFormatting sqref="B47:AF49">
    <cfRule type="expression" dxfId="1874" priority="42">
      <formula>B$9&gt;=20/24</formula>
    </cfRule>
    <cfRule type="expression" dxfId="1873" priority="43">
      <formula>AND(B$9&gt;=14/24,B$9&lt;20/24)</formula>
    </cfRule>
    <cfRule type="expression" dxfId="1872" priority="44">
      <formula>AND(B$9&gt;=8/24,B$9&lt;14/24)</formula>
    </cfRule>
    <cfRule type="expression" dxfId="1871" priority="45">
      <formula>B$9&lt;8/24</formula>
    </cfRule>
  </conditionalFormatting>
  <conditionalFormatting sqref="B48:AF53">
    <cfRule type="expression" dxfId="1870" priority="41">
      <formula>B48&gt;$AG48</formula>
    </cfRule>
  </conditionalFormatting>
  <conditionalFormatting sqref="B51:AF53">
    <cfRule type="expression" dxfId="1869" priority="61">
      <formula>B$9&gt;=20/24</formula>
    </cfRule>
    <cfRule type="expression" dxfId="1868" priority="62">
      <formula>AND(B$9&gt;=14/24,B$9&lt;20/24)</formula>
    </cfRule>
    <cfRule type="expression" dxfId="1867" priority="63">
      <formula>AND(B$9&gt;=8/24,B$9&lt;14/24)</formula>
    </cfRule>
    <cfRule type="expression" dxfId="1866" priority="64">
      <formula>B$9&lt;8/24</formula>
    </cfRule>
  </conditionalFormatting>
  <conditionalFormatting sqref="B69:AF71">
    <cfRule type="expression" dxfId="1865" priority="69">
      <formula>B69&gt;$AG69</formula>
    </cfRule>
    <cfRule type="expression" dxfId="1864" priority="70">
      <formula>B$9&gt;=20/24</formula>
    </cfRule>
    <cfRule type="expression" dxfId="1863" priority="71">
      <formula>AND(B$9&gt;=14/24,B$9&lt;20/24)</formula>
    </cfRule>
    <cfRule type="expression" dxfId="1862" priority="72">
      <formula>AND(B$9&gt;=8/24,B$9&lt;14/24)</formula>
    </cfRule>
    <cfRule type="expression" dxfId="1861" priority="73">
      <formula>B$9&lt;8/24</formula>
    </cfRule>
  </conditionalFormatting>
  <conditionalFormatting sqref="B73:AF91">
    <cfRule type="expression" dxfId="1860" priority="15">
      <formula>B$9&gt;=20/24</formula>
    </cfRule>
    <cfRule type="expression" dxfId="1859" priority="16">
      <formula>AND(B$9&gt;=14/24,B$9&lt;20/24)</formula>
    </cfRule>
    <cfRule type="expression" dxfId="1858" priority="17">
      <formula>AND(B$9&gt;=8/24,B$9&lt;14/24)</formula>
    </cfRule>
    <cfRule type="expression" dxfId="1857" priority="18">
      <formula>B$9&lt;8/24</formula>
    </cfRule>
  </conditionalFormatting>
  <conditionalFormatting sqref="B111:AF120">
    <cfRule type="expression" dxfId="1856" priority="28">
      <formula>B$9&gt;=20/24</formula>
    </cfRule>
    <cfRule type="expression" dxfId="1855" priority="29">
      <formula>AND(B$9&gt;=14/24,B$9&lt;20/24)</formula>
    </cfRule>
    <cfRule type="expression" dxfId="1854" priority="30">
      <formula>AND(B$9&gt;=8/24,B$9&lt;14/24)</formula>
    </cfRule>
    <cfRule type="expression" dxfId="1853" priority="31">
      <formula>B$9&lt;8/24</formula>
    </cfRule>
  </conditionalFormatting>
  <conditionalFormatting sqref="B227:AF227 D229:AF230 B229:B235 D231:H231 J231:AF231 D232:AF235 U248:AF248">
    <cfRule type="expression" dxfId="1852" priority="122">
      <formula>B$9&gt;=20/24</formula>
    </cfRule>
    <cfRule type="expression" dxfId="1851" priority="123">
      <formula>AND(B$9&gt;=14/24,B$9&lt;20/24)</formula>
    </cfRule>
    <cfRule type="expression" dxfId="1850" priority="124">
      <formula>AND(B$9&gt;=8/24,B$9&lt;14/24)</formula>
    </cfRule>
    <cfRule type="expression" dxfId="1849" priority="125">
      <formula>B$9&lt;8/24</formula>
    </cfRule>
  </conditionalFormatting>
  <conditionalFormatting sqref="B68:C68 D67:AG68 B72:AG72">
    <cfRule type="expression" dxfId="1848" priority="56">
      <formula>B67&gt;$AG67</formula>
    </cfRule>
  </conditionalFormatting>
  <conditionalFormatting sqref="B72:AG72 B93:AF109">
    <cfRule type="expression" dxfId="1847" priority="57">
      <formula>B$9&gt;=20/24</formula>
    </cfRule>
    <cfRule type="expression" dxfId="1846" priority="58">
      <formula>AND(B$9&gt;=14/24,B$9&lt;20/24)</formula>
    </cfRule>
    <cfRule type="expression" dxfId="1845" priority="59">
      <formula>AND(B$9&gt;=8/24,B$9&lt;14/24)</formula>
    </cfRule>
    <cfRule type="expression" dxfId="1844" priority="60">
      <formula>B$9&lt;8/24</formula>
    </cfRule>
  </conditionalFormatting>
  <conditionalFormatting sqref="E55:L55 F59:G61 E56:G58 H56:L61 M55:X61 Y55:AF66">
    <cfRule type="expression" dxfId="1843" priority="19">
      <formula>E55&gt;$AG55</formula>
    </cfRule>
  </conditionalFormatting>
  <conditionalFormatting sqref="D54:AG54">
    <cfRule type="expression" dxfId="1842" priority="90">
      <formula>D54&gt;$AG54</formula>
    </cfRule>
    <cfRule type="expression" dxfId="1841" priority="91">
      <formula>D$9&gt;=20/24</formula>
    </cfRule>
    <cfRule type="expression" dxfId="1840" priority="92">
      <formula>AND(D$9&gt;=14/24,D$9&lt;20/24)</formula>
    </cfRule>
    <cfRule type="expression" dxfId="1839" priority="93">
      <formula>AND(D$9&gt;=8/24,D$9&lt;14/24)</formula>
    </cfRule>
    <cfRule type="expression" dxfId="1838" priority="94">
      <formula>D$9&lt;8/24</formula>
    </cfRule>
  </conditionalFormatting>
  <conditionalFormatting sqref="E55:X57">
    <cfRule type="expression" dxfId="1837" priority="103">
      <formula>E$9&gt;=20/24</formula>
    </cfRule>
    <cfRule type="expression" dxfId="1836" priority="104">
      <formula>AND(E$9&gt;=14/24,E$9&lt;20/24)</formula>
    </cfRule>
    <cfRule type="expression" dxfId="1835" priority="105">
      <formula>AND(E$9&gt;=8/24,E$9&lt;14/24)</formula>
    </cfRule>
    <cfRule type="expression" dxfId="1834" priority="106">
      <formula>E$9&lt;8/24</formula>
    </cfRule>
  </conditionalFormatting>
  <conditionalFormatting sqref="O3:P3">
    <cfRule type="iconSet" priority="126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833" priority="128">
      <formula>C$9&gt;=20/24</formula>
    </cfRule>
  </conditionalFormatting>
  <conditionalFormatting sqref="S8">
    <cfRule type="expression" dxfId="1832" priority="115">
      <formula>U$9&gt;=20/24</formula>
    </cfRule>
    <cfRule type="expression" dxfId="1831" priority="116">
      <formula>AND(U$9&gt;=14/24,U$9&lt;20/24)</formula>
    </cfRule>
    <cfRule type="expression" dxfId="1830" priority="117">
      <formula>AND(U$9&gt;=8/24,U$9&lt;14/24)</formula>
    </cfRule>
    <cfRule type="expression" dxfId="1829" priority="118">
      <formula>U$9&lt;8/24</formula>
    </cfRule>
  </conditionalFormatting>
  <conditionalFormatting sqref="Y55:AF60">
    <cfRule type="expression" dxfId="1828" priority="24">
      <formula>Y$9&gt;=20/24</formula>
    </cfRule>
    <cfRule type="expression" dxfId="1827" priority="25">
      <formula>AND(Y$9&gt;=14/24,Y$9&lt;20/24)</formula>
    </cfRule>
    <cfRule type="expression" dxfId="1826" priority="26">
      <formula>AND(Y$9&gt;=8/24,Y$9&lt;14/24)</formula>
    </cfRule>
    <cfRule type="expression" dxfId="1825" priority="27">
      <formula>Y$9&lt;8/24</formula>
    </cfRule>
  </conditionalFormatting>
  <conditionalFormatting sqref="T248">
    <cfRule type="expression" dxfId="1824" priority="140">
      <formula>AX$9&gt;=20/24</formula>
    </cfRule>
    <cfRule type="expression" dxfId="1823" priority="141">
      <formula>AND(AX$9&gt;=14/24,AX$9&lt;20/24)</formula>
    </cfRule>
    <cfRule type="expression" dxfId="1822" priority="142">
      <formula>AND(AX$9&gt;=8/24,AX$9&lt;14/24)</formula>
    </cfRule>
    <cfRule type="expression" dxfId="1821" priority="143">
      <formula>AX$9&lt;8/24</formula>
    </cfRule>
  </conditionalFormatting>
  <conditionalFormatting sqref="V3 AB3">
    <cfRule type="iconSet" priority="127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820" priority="111">
      <formula>AD$9&gt;=20/24</formula>
    </cfRule>
    <cfRule type="expression" dxfId="1819" priority="112">
      <formula>AND(AD$9&gt;=14/24,AD$9&lt;20/24)</formula>
    </cfRule>
    <cfRule type="expression" dxfId="1818" priority="113">
      <formula>AND(AD$9&gt;=8/24,AD$9&lt;14/24)</formula>
    </cfRule>
    <cfRule type="expression" dxfId="1817" priority="114">
      <formula>AD$9&lt;8/24</formula>
    </cfRule>
  </conditionalFormatting>
  <conditionalFormatting sqref="AE61:AF66">
    <cfRule type="expression" dxfId="1816" priority="20">
      <formula>AE$9&gt;=20/24</formula>
    </cfRule>
    <cfRule type="expression" dxfId="1815" priority="21">
      <formula>AND(AE$9&gt;=14/24,AE$9&lt;20/24)</formula>
    </cfRule>
    <cfRule type="expression" dxfId="1814" priority="22">
      <formula>AND(AE$9&gt;=8/24,AE$9&lt;14/24)</formula>
    </cfRule>
    <cfRule type="expression" dxfId="1813" priority="23">
      <formula>AE$9&lt;8/24</formula>
    </cfRule>
  </conditionalFormatting>
  <conditionalFormatting sqref="AG50">
    <cfRule type="expression" dxfId="1812" priority="98">
      <formula>AG50&gt;$AG50</formula>
    </cfRule>
  </conditionalFormatting>
  <conditionalFormatting sqref="AG89">
    <cfRule type="expression" dxfId="1811" priority="99">
      <formula>AG$9&gt;=20/24</formula>
    </cfRule>
    <cfRule type="expression" dxfId="1810" priority="100">
      <formula>AND(AG$9&gt;=14/24,AG$9&lt;20/24)</formula>
    </cfRule>
    <cfRule type="expression" dxfId="1809" priority="101">
      <formula>AND(AG$9&gt;=8/24,AG$9&lt;14/24)</formula>
    </cfRule>
    <cfRule type="expression" dxfId="1808" priority="102">
      <formula>AG$9&lt;8/24</formula>
    </cfRule>
  </conditionalFormatting>
  <conditionalFormatting sqref="AG248">
    <cfRule type="expression" dxfId="1807" priority="132">
      <formula>B$9&gt;=20/24</formula>
    </cfRule>
    <cfRule type="expression" dxfId="1806" priority="133">
      <formula>AND(B$9&gt;=14/24,B$9&lt;20/24)</formula>
    </cfRule>
    <cfRule type="expression" dxfId="1805" priority="134">
      <formula>AND(B$9&gt;=8/24,B$9&lt;14/24)</formula>
    </cfRule>
    <cfRule type="expression" dxfId="1804" priority="135">
      <formula>B$9&lt;8/24</formula>
    </cfRule>
  </conditionalFormatting>
  <conditionalFormatting sqref="AH248:AX248">
    <cfRule type="expression" dxfId="1803" priority="136">
      <formula>AG$9&gt;=20/24</formula>
    </cfRule>
    <cfRule type="expression" dxfId="1802" priority="137">
      <formula>AND(AG$9&gt;=14/24,AG$9&lt;20/24)</formula>
    </cfRule>
    <cfRule type="expression" dxfId="1801" priority="138">
      <formula>AND(AG$9&gt;=8/24,AG$9&lt;14/24)</formula>
    </cfRule>
    <cfRule type="expression" dxfId="1800" priority="139">
      <formula>AG$9&lt;8/24</formula>
    </cfRule>
  </conditionalFormatting>
  <conditionalFormatting sqref="AL4:AL6">
    <cfRule type="iconSet" priority="121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96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80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95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97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20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19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79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44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799" priority="145">
      <formula>AJ$9&gt;=20/24</formula>
    </cfRule>
    <cfRule type="expression" dxfId="1798" priority="146">
      <formula>AND(AJ$9&gt;=14/24,AJ$9&lt;20/24)</formula>
    </cfRule>
    <cfRule type="expression" dxfId="1797" priority="147">
      <formula>AND(AJ$9&gt;=8/24,AJ$9&lt;14/24)</formula>
    </cfRule>
    <cfRule type="expression" dxfId="1796" priority="148">
      <formula>AJ$9&lt;8/24</formula>
    </cfRule>
  </conditionalFormatting>
  <conditionalFormatting sqref="AL80:AN80 AL86:AN86">
    <cfRule type="expression" dxfId="1795" priority="86">
      <formula>AL$9&gt;=20/24</formula>
    </cfRule>
    <cfRule type="expression" dxfId="1794" priority="87">
      <formula>AND(AL$9&gt;=14/24,AL$9&lt;20/24)</formula>
    </cfRule>
    <cfRule type="expression" dxfId="1793" priority="88">
      <formula>AND(AL$9&gt;=8/24,AL$9&lt;14/24)</formula>
    </cfRule>
    <cfRule type="expression" dxfId="1792" priority="89">
      <formula>AL$9&lt;8/24</formula>
    </cfRule>
  </conditionalFormatting>
  <conditionalFormatting sqref="AN81:AN84">
    <cfRule type="expression" dxfId="1791" priority="82">
      <formula>AN$9&gt;=20/24</formula>
    </cfRule>
    <cfRule type="expression" dxfId="1790" priority="83">
      <formula>AND(AN$9&gt;=14/24,AN$9&lt;20/24)</formula>
    </cfRule>
    <cfRule type="expression" dxfId="1789" priority="84">
      <formula>AND(AN$9&gt;=8/24,AN$9&lt;14/24)</formula>
    </cfRule>
    <cfRule type="expression" dxfId="1788" priority="85">
      <formula>AN$9&lt;8/24</formula>
    </cfRule>
  </conditionalFormatting>
  <conditionalFormatting sqref="B61:E66 F62:X66">
    <cfRule type="expression" dxfId="1787" priority="10">
      <formula>B$9&gt;=20/24</formula>
    </cfRule>
    <cfRule type="expression" dxfId="1786" priority="11">
      <formula>AND(B$9&gt;=14/24,B$9&lt;20/24)</formula>
    </cfRule>
    <cfRule type="expression" dxfId="1785" priority="12">
      <formula>AND(B$9&gt;=8/24,B$9&lt;14/24)</formula>
    </cfRule>
    <cfRule type="expression" dxfId="1784" priority="13">
      <formula>B$9&lt;8/24</formula>
    </cfRule>
  </conditionalFormatting>
  <conditionalFormatting sqref="B67:C67">
    <cfRule type="expression" dxfId="1783" priority="14">
      <formula>B67&gt;$AG67</formula>
    </cfRule>
  </conditionalFormatting>
  <conditionalFormatting sqref="B55:D66 E59:E66 F62:X66">
    <cfRule type="expression" dxfId="1782" priority="1">
      <formula>B55&gt;$AG55</formula>
    </cfRule>
  </conditionalFormatting>
  <conditionalFormatting sqref="B55:D60 E59:E60">
    <cfRule type="expression" dxfId="1781" priority="6">
      <formula>B$9&gt;=20/24</formula>
    </cfRule>
    <cfRule type="expression" dxfId="1780" priority="7">
      <formula>AND(B$9&gt;=14/24,B$9&lt;20/24)</formula>
    </cfRule>
    <cfRule type="expression" dxfId="1779" priority="8">
      <formula>AND(B$9&gt;=8/24,B$9&lt;14/24)</formula>
    </cfRule>
    <cfRule type="expression" dxfId="1778" priority="9">
      <formula>B$9&lt;8/24</formula>
    </cfRule>
  </conditionalFormatting>
  <conditionalFormatting sqref="B61:E66 F62:X66">
    <cfRule type="expression" dxfId="1777" priority="2">
      <formula>B$9&gt;=20/24</formula>
    </cfRule>
    <cfRule type="expression" dxfId="1776" priority="3">
      <formula>AND(B$9&gt;=14/24,B$9&lt;20/24)</formula>
    </cfRule>
    <cfRule type="expression" dxfId="1775" priority="4">
      <formula>AND(B$9&gt;=8/24,B$9&lt;14/24)</formula>
    </cfRule>
    <cfRule type="expression" dxfId="1774" priority="5">
      <formula>B$9&lt;8/24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B510A-3CBA-4E65-A960-9BF607F6246F}">
  <sheetPr codeName="Sheet42"/>
  <dimension ref="A1:CJ281"/>
  <sheetViews>
    <sheetView zoomScaleNormal="100" workbookViewId="0">
      <pane xSplit="1" ySplit="10" topLeftCell="H55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X71" sqref="X71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2080/06/18</v>
      </c>
      <c r="C4" s="201"/>
      <c r="D4" s="201"/>
      <c r="E4" s="202" t="str">
        <f ca="1">"2080/"&amp;"06/"&amp;INT(MID(CELL("filename",G6),FIND("]",CELL("filename",G6))+1,200))</f>
        <v>2080/06/18</v>
      </c>
      <c r="F4" s="202"/>
      <c r="G4" s="202"/>
      <c r="H4" s="202" t="str">
        <f ca="1">TEXT(E4,"dddd")</f>
        <v>Tuesday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2180MW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Load=1684</v>
      </c>
      <c r="B7" s="35">
        <f t="shared" ref="B7:AF7" si="1">B91</f>
        <v>1947.54</v>
      </c>
      <c r="C7" s="35">
        <f t="shared" si="1"/>
        <v>1947.54</v>
      </c>
      <c r="D7" s="35">
        <f t="shared" si="1"/>
        <v>1951.04</v>
      </c>
      <c r="E7" s="35">
        <f t="shared" si="1"/>
        <v>1952.54</v>
      </c>
      <c r="F7" s="35">
        <f t="shared" si="1"/>
        <v>1941.54</v>
      </c>
      <c r="G7" s="35">
        <f t="shared" si="1"/>
        <v>1978.14</v>
      </c>
      <c r="H7" s="35">
        <f t="shared" si="1"/>
        <v>2011.24</v>
      </c>
      <c r="I7" s="35">
        <f t="shared" si="1"/>
        <v>2011.24</v>
      </c>
      <c r="J7" s="35">
        <f t="shared" si="1"/>
        <v>2047.3399999999997</v>
      </c>
      <c r="K7" s="35">
        <f t="shared" si="1"/>
        <v>2121.64</v>
      </c>
      <c r="L7" s="35">
        <f t="shared" si="1"/>
        <v>2180.2399999999998</v>
      </c>
      <c r="M7" s="35">
        <f t="shared" si="1"/>
        <v>2119.9399999999996</v>
      </c>
      <c r="N7" s="35">
        <f>N91</f>
        <v>2136.9399999999996</v>
      </c>
      <c r="O7" s="35">
        <f t="shared" si="1"/>
        <v>2097.2399999999998</v>
      </c>
      <c r="P7" s="35">
        <f t="shared" si="1"/>
        <v>2106.54</v>
      </c>
      <c r="Q7" s="35">
        <f t="shared" si="1"/>
        <v>2085.44</v>
      </c>
      <c r="R7" s="35">
        <f t="shared" si="1"/>
        <v>2063.14</v>
      </c>
      <c r="S7" s="35">
        <f t="shared" si="1"/>
        <v>2095.1400000000003</v>
      </c>
      <c r="T7" s="35">
        <f t="shared" si="1"/>
        <v>2093.34</v>
      </c>
      <c r="U7" s="35">
        <f t="shared" si="1"/>
        <v>2065.3399999999997</v>
      </c>
      <c r="V7" s="35">
        <f t="shared" si="1"/>
        <v>1694.24</v>
      </c>
      <c r="W7" s="35">
        <f t="shared" si="1"/>
        <v>1684.44</v>
      </c>
      <c r="X7" s="35">
        <f t="shared" si="1"/>
        <v>1720.04</v>
      </c>
      <c r="Y7" s="35">
        <f t="shared" si="1"/>
        <v>2178.94</v>
      </c>
      <c r="Z7" s="35">
        <f t="shared" si="1"/>
        <v>2189.04</v>
      </c>
      <c r="AA7" s="35">
        <f t="shared" si="1"/>
        <v>2168.34</v>
      </c>
      <c r="AB7" s="35">
        <f t="shared" si="1"/>
        <v>2136.44</v>
      </c>
      <c r="AC7" s="35">
        <f t="shared" si="1"/>
        <v>2123.1400000000003</v>
      </c>
      <c r="AD7" s="35">
        <f t="shared" si="1"/>
        <v>2113.1400000000003</v>
      </c>
      <c r="AE7" s="35">
        <f t="shared" si="1"/>
        <v>2051.04</v>
      </c>
      <c r="AF7" s="35">
        <f t="shared" si="1"/>
        <v>2036.04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86.5</v>
      </c>
      <c r="C11" s="45">
        <v>86.5</v>
      </c>
      <c r="D11" s="45">
        <v>86.5</v>
      </c>
      <c r="E11" s="45">
        <v>86.4</v>
      </c>
      <c r="F11" s="45">
        <v>86.4</v>
      </c>
      <c r="G11" s="45">
        <v>86.4</v>
      </c>
      <c r="H11" s="45">
        <v>86.4</v>
      </c>
      <c r="I11" s="45">
        <v>86.4</v>
      </c>
      <c r="J11" s="45">
        <v>86.4</v>
      </c>
      <c r="K11" s="45">
        <v>90.1</v>
      </c>
      <c r="L11" s="45">
        <v>90.1</v>
      </c>
      <c r="M11" s="45">
        <v>90.1</v>
      </c>
      <c r="N11" s="45">
        <v>90.1</v>
      </c>
      <c r="O11" s="45">
        <v>90.1</v>
      </c>
      <c r="P11" s="45">
        <v>90.1</v>
      </c>
      <c r="Q11" s="45">
        <v>90.1</v>
      </c>
      <c r="R11" s="45">
        <v>90.1</v>
      </c>
      <c r="S11" s="45">
        <v>90.1</v>
      </c>
      <c r="T11" s="45">
        <v>90.1</v>
      </c>
      <c r="U11" s="45">
        <v>90.1</v>
      </c>
      <c r="V11" s="45">
        <v>90.1</v>
      </c>
      <c r="W11" s="45">
        <v>90.1</v>
      </c>
      <c r="X11" s="45">
        <v>90.1</v>
      </c>
      <c r="Y11" s="45">
        <v>90.1</v>
      </c>
      <c r="Z11" s="45">
        <v>90.1</v>
      </c>
      <c r="AA11" s="45">
        <v>90.1</v>
      </c>
      <c r="AB11" s="45">
        <v>90.1</v>
      </c>
      <c r="AC11" s="45">
        <v>90.1</v>
      </c>
      <c r="AD11" s="45">
        <v>90.1</v>
      </c>
      <c r="AE11" s="45">
        <v>90.1</v>
      </c>
      <c r="AF11" s="45">
        <v>90.1</v>
      </c>
      <c r="AG11" s="46">
        <v>86</v>
      </c>
      <c r="AH11" s="47">
        <f t="shared" ref="AH11:AH76" si="2">MAX(B11:AF11)</f>
        <v>90.1</v>
      </c>
      <c r="AI11" s="48">
        <f t="shared" ref="AI11:AI76" si="3">MIN(B11:AF11)</f>
        <v>86.4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8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52.5</v>
      </c>
      <c r="C13" s="45">
        <v>52.5</v>
      </c>
      <c r="D13" s="45">
        <v>52.5</v>
      </c>
      <c r="E13" s="45">
        <v>52.7</v>
      </c>
      <c r="F13" s="45">
        <v>52.7</v>
      </c>
      <c r="G13" s="45">
        <v>52.7</v>
      </c>
      <c r="H13" s="45">
        <v>52.7</v>
      </c>
      <c r="I13" s="45">
        <v>52.7</v>
      </c>
      <c r="J13" s="45">
        <v>52.7</v>
      </c>
      <c r="K13" s="45">
        <v>53.3</v>
      </c>
      <c r="L13" s="45">
        <v>53.3</v>
      </c>
      <c r="M13" s="45">
        <v>53.3</v>
      </c>
      <c r="N13" s="45">
        <v>53.3</v>
      </c>
      <c r="O13" s="45">
        <v>53.3</v>
      </c>
      <c r="P13" s="45">
        <v>54.2</v>
      </c>
      <c r="Q13" s="45">
        <v>54.2</v>
      </c>
      <c r="R13" s="45">
        <v>54.3</v>
      </c>
      <c r="S13" s="45">
        <v>54.3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54.3</v>
      </c>
      <c r="AI13" s="48">
        <f t="shared" si="3"/>
        <v>52.5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50.3</v>
      </c>
      <c r="C14" s="58">
        <v>50.3</v>
      </c>
      <c r="D14" s="58">
        <v>50.3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50.7</v>
      </c>
      <c r="N14" s="58">
        <v>50.7</v>
      </c>
      <c r="O14" s="58">
        <v>50.7</v>
      </c>
      <c r="P14" s="58">
        <v>50.6</v>
      </c>
      <c r="Q14" s="58">
        <v>50.6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58">
        <v>50.5</v>
      </c>
      <c r="AB14" s="58">
        <v>50.5</v>
      </c>
      <c r="AC14" s="58">
        <v>50.5</v>
      </c>
      <c r="AD14" s="58">
        <v>50.5</v>
      </c>
      <c r="AE14" s="58">
        <v>50.5</v>
      </c>
      <c r="AF14" s="58">
        <v>50.5</v>
      </c>
      <c r="AG14" s="49">
        <v>50</v>
      </c>
      <c r="AH14" s="47">
        <f t="shared" si="2"/>
        <v>50.7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37.299999999999997</v>
      </c>
      <c r="C15" s="45">
        <v>37.299999999999997</v>
      </c>
      <c r="D15" s="45">
        <v>37.299999999999997</v>
      </c>
      <c r="E15" s="45">
        <v>46.3</v>
      </c>
      <c r="F15" s="45">
        <v>46.3</v>
      </c>
      <c r="G15" s="45">
        <v>46.3</v>
      </c>
      <c r="H15" s="45">
        <v>46.3</v>
      </c>
      <c r="I15" s="45">
        <v>46.3</v>
      </c>
      <c r="J15" s="45">
        <v>46.3</v>
      </c>
      <c r="K15" s="45">
        <v>46.3</v>
      </c>
      <c r="L15" s="45">
        <v>46.3</v>
      </c>
      <c r="M15" s="45">
        <v>46.1</v>
      </c>
      <c r="N15" s="45">
        <v>46.1</v>
      </c>
      <c r="O15" s="45">
        <v>46.1</v>
      </c>
      <c r="P15" s="45">
        <v>46.1</v>
      </c>
      <c r="Q15" s="45">
        <v>46.1</v>
      </c>
      <c r="R15" s="45">
        <v>46.3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46.3</v>
      </c>
      <c r="AF15" s="45">
        <v>46.3</v>
      </c>
      <c r="AG15" s="49">
        <v>45</v>
      </c>
      <c r="AH15" s="47">
        <f t="shared" si="2"/>
        <v>46.3</v>
      </c>
      <c r="AI15" s="48">
        <f t="shared" si="3"/>
        <v>37.299999999999997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40</v>
      </c>
      <c r="E16" s="45">
        <v>42</v>
      </c>
      <c r="F16" s="45">
        <v>42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27</v>
      </c>
      <c r="F17" s="45">
        <v>27</v>
      </c>
      <c r="G17" s="45">
        <v>30</v>
      </c>
      <c r="H17" s="45">
        <v>30</v>
      </c>
      <c r="I17" s="45">
        <v>30</v>
      </c>
      <c r="J17" s="45">
        <v>30</v>
      </c>
      <c r="K17" s="45">
        <v>30</v>
      </c>
      <c r="L17" s="45">
        <v>28</v>
      </c>
      <c r="M17" s="45">
        <v>31</v>
      </c>
      <c r="N17" s="45">
        <v>31</v>
      </c>
      <c r="O17" s="45">
        <v>29</v>
      </c>
      <c r="P17" s="45">
        <v>29</v>
      </c>
      <c r="Q17" s="45">
        <v>29</v>
      </c>
      <c r="R17" s="45">
        <v>29</v>
      </c>
      <c r="S17" s="45">
        <v>26.1</v>
      </c>
      <c r="T17" s="45">
        <v>26.1</v>
      </c>
      <c r="U17" s="45">
        <v>26.1</v>
      </c>
      <c r="V17" s="45">
        <v>26.1</v>
      </c>
      <c r="W17" s="45">
        <v>26.1</v>
      </c>
      <c r="X17" s="45">
        <v>26.1</v>
      </c>
      <c r="Y17" s="45">
        <v>29</v>
      </c>
      <c r="Z17" s="45">
        <v>29</v>
      </c>
      <c r="AA17" s="45">
        <v>29</v>
      </c>
      <c r="AB17" s="45">
        <v>29</v>
      </c>
      <c r="AC17" s="45">
        <v>29</v>
      </c>
      <c r="AD17" s="45">
        <v>29</v>
      </c>
      <c r="AE17" s="45">
        <v>29</v>
      </c>
      <c r="AF17" s="45">
        <v>27</v>
      </c>
      <c r="AG17" s="49">
        <v>42</v>
      </c>
      <c r="AH17" s="47">
        <f t="shared" si="2"/>
        <v>31</v>
      </c>
      <c r="AI17" s="48">
        <f t="shared" si="3"/>
        <v>26.1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15</v>
      </c>
      <c r="F20" s="45">
        <v>10.5</v>
      </c>
      <c r="G20" s="45">
        <v>10.5</v>
      </c>
      <c r="H20" s="45">
        <v>10.5</v>
      </c>
      <c r="I20" s="45">
        <v>10.5</v>
      </c>
      <c r="J20" s="45">
        <v>25</v>
      </c>
      <c r="K20" s="45">
        <v>30</v>
      </c>
      <c r="L20" s="45">
        <v>30</v>
      </c>
      <c r="M20" s="45">
        <v>20</v>
      </c>
      <c r="N20" s="45">
        <v>20</v>
      </c>
      <c r="O20" s="45">
        <v>15</v>
      </c>
      <c r="P20" s="45">
        <v>15</v>
      </c>
      <c r="Q20" s="45">
        <v>5.5</v>
      </c>
      <c r="R20" s="45">
        <v>5.5</v>
      </c>
      <c r="S20" s="45">
        <v>5.5</v>
      </c>
      <c r="T20" s="45">
        <v>5.5</v>
      </c>
      <c r="U20" s="45">
        <v>5.5</v>
      </c>
      <c r="V20" s="45">
        <v>5.5</v>
      </c>
      <c r="W20" s="45">
        <v>15.6</v>
      </c>
      <c r="X20" s="45">
        <v>25.7</v>
      </c>
      <c r="Y20" s="45">
        <v>30.1</v>
      </c>
      <c r="Z20" s="45">
        <v>30.1</v>
      </c>
      <c r="AA20" s="45">
        <v>30.1</v>
      </c>
      <c r="AB20" s="45">
        <v>30.1</v>
      </c>
      <c r="AC20" s="45">
        <v>30.1</v>
      </c>
      <c r="AD20" s="45">
        <v>30.1</v>
      </c>
      <c r="AE20" s="45">
        <v>5</v>
      </c>
      <c r="AF20" s="45">
        <v>5</v>
      </c>
      <c r="AG20" s="51">
        <v>30</v>
      </c>
      <c r="AH20" s="47">
        <f t="shared" si="2"/>
        <v>30.1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25.7</v>
      </c>
      <c r="C21" s="45">
        <v>25.7</v>
      </c>
      <c r="D21" s="45">
        <v>25.7</v>
      </c>
      <c r="E21" s="45">
        <v>25.8</v>
      </c>
      <c r="F21" s="45">
        <v>25.8</v>
      </c>
      <c r="G21" s="45">
        <v>25.8</v>
      </c>
      <c r="H21" s="45">
        <v>25.8</v>
      </c>
      <c r="I21" s="45">
        <v>25.8</v>
      </c>
      <c r="J21" s="45">
        <v>25.8</v>
      </c>
      <c r="K21" s="45">
        <v>33</v>
      </c>
      <c r="L21" s="45">
        <v>33</v>
      </c>
      <c r="M21" s="45">
        <v>33</v>
      </c>
      <c r="N21" s="45">
        <v>33</v>
      </c>
      <c r="O21" s="45">
        <v>33</v>
      </c>
      <c r="P21" s="45">
        <v>33</v>
      </c>
      <c r="Q21" s="45">
        <v>33</v>
      </c>
      <c r="R21" s="45">
        <v>33</v>
      </c>
      <c r="S21" s="45">
        <v>33</v>
      </c>
      <c r="T21" s="45">
        <v>33</v>
      </c>
      <c r="U21" s="45">
        <v>33</v>
      </c>
      <c r="V21" s="45">
        <v>33</v>
      </c>
      <c r="W21" s="45">
        <v>33</v>
      </c>
      <c r="X21" s="45">
        <v>33</v>
      </c>
      <c r="Y21" s="45">
        <v>33</v>
      </c>
      <c r="Z21" s="45">
        <v>33</v>
      </c>
      <c r="AA21" s="45">
        <v>33</v>
      </c>
      <c r="AB21" s="45">
        <v>33</v>
      </c>
      <c r="AC21" s="45">
        <v>33</v>
      </c>
      <c r="AD21" s="45">
        <v>33</v>
      </c>
      <c r="AE21" s="45">
        <v>33</v>
      </c>
      <c r="AF21" s="45">
        <v>33</v>
      </c>
      <c r="AG21" s="49">
        <v>24.2</v>
      </c>
      <c r="AH21" s="47">
        <f t="shared" si="2"/>
        <v>33</v>
      </c>
      <c r="AI21" s="48">
        <f t="shared" si="3"/>
        <v>25.7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9.1999999999999993</v>
      </c>
      <c r="F23" s="45">
        <v>9.1999999999999993</v>
      </c>
      <c r="G23" s="45">
        <v>9.1999999999999993</v>
      </c>
      <c r="H23" s="45">
        <v>9.1999999999999993</v>
      </c>
      <c r="I23" s="45">
        <v>9.1999999999999993</v>
      </c>
      <c r="J23" s="45">
        <v>9.4</v>
      </c>
      <c r="K23" s="45">
        <v>25.7</v>
      </c>
      <c r="L23" s="45">
        <v>25.7</v>
      </c>
      <c r="M23" s="45">
        <v>25.5</v>
      </c>
      <c r="N23" s="45">
        <v>25.5</v>
      </c>
      <c r="O23" s="45">
        <v>13.7</v>
      </c>
      <c r="P23" s="45">
        <v>13.7</v>
      </c>
      <c r="Q23" s="45">
        <v>5</v>
      </c>
      <c r="R23" s="45">
        <v>5</v>
      </c>
      <c r="S23" s="45">
        <v>5</v>
      </c>
      <c r="T23" s="45">
        <v>5</v>
      </c>
      <c r="U23" s="45">
        <v>9.3000000000000007</v>
      </c>
      <c r="V23" s="45">
        <v>9.3000000000000007</v>
      </c>
      <c r="W23" s="45">
        <v>13.5</v>
      </c>
      <c r="X23" s="45">
        <v>13.5</v>
      </c>
      <c r="Y23" s="45">
        <v>20.8</v>
      </c>
      <c r="Z23" s="45">
        <v>20.8</v>
      </c>
      <c r="AA23" s="45">
        <v>20.8</v>
      </c>
      <c r="AB23" s="45">
        <v>20.8</v>
      </c>
      <c r="AC23" s="45">
        <v>27</v>
      </c>
      <c r="AD23" s="45">
        <v>27</v>
      </c>
      <c r="AE23" s="45">
        <v>5</v>
      </c>
      <c r="AF23" s="45">
        <v>5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</v>
      </c>
      <c r="C24" s="45">
        <v>24</v>
      </c>
      <c r="D24" s="45">
        <v>24</v>
      </c>
      <c r="E24" s="45">
        <v>24</v>
      </c>
      <c r="F24" s="45">
        <v>24</v>
      </c>
      <c r="G24" s="45">
        <v>24</v>
      </c>
      <c r="H24" s="45">
        <v>24</v>
      </c>
      <c r="I24" s="45">
        <v>24</v>
      </c>
      <c r="J24" s="45">
        <v>24</v>
      </c>
      <c r="K24" s="45">
        <v>24</v>
      </c>
      <c r="L24" s="45">
        <v>24</v>
      </c>
      <c r="M24" s="45">
        <v>24.3</v>
      </c>
      <c r="N24" s="45">
        <v>24.3</v>
      </c>
      <c r="O24" s="45">
        <v>24.3</v>
      </c>
      <c r="P24" s="45">
        <v>24.3</v>
      </c>
      <c r="Q24" s="45">
        <v>24.3</v>
      </c>
      <c r="R24" s="45">
        <v>24.3</v>
      </c>
      <c r="S24" s="45">
        <v>24.3</v>
      </c>
      <c r="T24" s="45">
        <v>24.3</v>
      </c>
      <c r="U24" s="45">
        <v>24.3</v>
      </c>
      <c r="V24" s="45">
        <v>24.3</v>
      </c>
      <c r="W24" s="45">
        <v>24.3</v>
      </c>
      <c r="X24" s="45">
        <v>24.3</v>
      </c>
      <c r="Y24" s="45">
        <v>24.3</v>
      </c>
      <c r="Z24" s="45">
        <v>24.3</v>
      </c>
      <c r="AA24" s="45">
        <v>24.3</v>
      </c>
      <c r="AB24" s="45">
        <v>24.3</v>
      </c>
      <c r="AC24" s="45">
        <v>24.3</v>
      </c>
      <c r="AD24" s="45">
        <v>24.3</v>
      </c>
      <c r="AE24" s="45">
        <v>24.3</v>
      </c>
      <c r="AF24" s="45">
        <v>24.3</v>
      </c>
      <c r="AG24" s="49">
        <v>25</v>
      </c>
      <c r="AH24" s="47">
        <f t="shared" si="2"/>
        <v>24.3</v>
      </c>
      <c r="AI24" s="48">
        <f t="shared" si="3"/>
        <v>24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12.5</v>
      </c>
      <c r="F27" s="45">
        <v>8</v>
      </c>
      <c r="G27" s="45">
        <v>8</v>
      </c>
      <c r="H27" s="45">
        <v>8</v>
      </c>
      <c r="I27" s="45">
        <v>8</v>
      </c>
      <c r="J27" s="45">
        <v>25</v>
      </c>
      <c r="K27" s="45">
        <v>25</v>
      </c>
      <c r="L27" s="45">
        <v>25</v>
      </c>
      <c r="M27" s="45">
        <v>25</v>
      </c>
      <c r="N27" s="45">
        <v>25</v>
      </c>
      <c r="O27" s="45">
        <v>12.5</v>
      </c>
      <c r="P27" s="45">
        <v>12.5</v>
      </c>
      <c r="Q27" s="45">
        <v>12.5</v>
      </c>
      <c r="R27" s="45">
        <v>5</v>
      </c>
      <c r="S27" s="45">
        <v>5</v>
      </c>
      <c r="T27" s="45">
        <v>5</v>
      </c>
      <c r="U27" s="45">
        <v>5</v>
      </c>
      <c r="V27" s="45">
        <v>5</v>
      </c>
      <c r="W27" s="45">
        <v>12.5</v>
      </c>
      <c r="X27" s="45">
        <v>12.5</v>
      </c>
      <c r="Y27" s="45">
        <v>20</v>
      </c>
      <c r="Z27" s="45">
        <v>20</v>
      </c>
      <c r="AA27" s="45">
        <v>20</v>
      </c>
      <c r="AB27" s="45">
        <v>20</v>
      </c>
      <c r="AC27" s="45">
        <v>20</v>
      </c>
      <c r="AD27" s="45">
        <v>20</v>
      </c>
      <c r="AE27" s="45">
        <v>5</v>
      </c>
      <c r="AF27" s="45">
        <v>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</v>
      </c>
      <c r="C28" s="45">
        <v>25</v>
      </c>
      <c r="D28" s="45">
        <v>25</v>
      </c>
      <c r="E28" s="45">
        <v>25</v>
      </c>
      <c r="F28" s="45">
        <v>25</v>
      </c>
      <c r="G28" s="45">
        <v>25</v>
      </c>
      <c r="H28" s="45">
        <v>25</v>
      </c>
      <c r="I28" s="45">
        <v>25</v>
      </c>
      <c r="J28" s="45">
        <v>25</v>
      </c>
      <c r="K28" s="45">
        <v>25</v>
      </c>
      <c r="L28" s="45">
        <v>25</v>
      </c>
      <c r="M28" s="45">
        <v>25</v>
      </c>
      <c r="N28" s="45">
        <v>25</v>
      </c>
      <c r="O28" s="45">
        <v>25</v>
      </c>
      <c r="P28" s="45">
        <v>25</v>
      </c>
      <c r="Q28" s="45">
        <v>25</v>
      </c>
      <c r="R28" s="45">
        <v>25.1</v>
      </c>
      <c r="S28" s="45">
        <v>25.1</v>
      </c>
      <c r="T28" s="45">
        <v>25.1</v>
      </c>
      <c r="U28" s="45">
        <v>25.1</v>
      </c>
      <c r="V28" s="45">
        <v>25.1</v>
      </c>
      <c r="W28" s="45">
        <v>25.1</v>
      </c>
      <c r="X28" s="45">
        <v>25.1</v>
      </c>
      <c r="Y28" s="45">
        <v>25.1</v>
      </c>
      <c r="Z28" s="45">
        <v>25.1</v>
      </c>
      <c r="AA28" s="45">
        <v>25.1</v>
      </c>
      <c r="AB28" s="45">
        <v>25.1</v>
      </c>
      <c r="AC28" s="45">
        <v>25.1</v>
      </c>
      <c r="AD28" s="45">
        <v>25.1</v>
      </c>
      <c r="AE28" s="45">
        <v>25.1</v>
      </c>
      <c r="AF28" s="45">
        <v>25.1</v>
      </c>
      <c r="AG28" s="49">
        <v>23.5</v>
      </c>
      <c r="AH28" s="47">
        <f t="shared" si="2"/>
        <v>25.1</v>
      </c>
      <c r="AI28" s="48">
        <f t="shared" si="3"/>
        <v>25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19</v>
      </c>
      <c r="F32" s="45">
        <v>19</v>
      </c>
      <c r="G32" s="45">
        <v>19</v>
      </c>
      <c r="H32" s="45">
        <v>19</v>
      </c>
      <c r="I32" s="45">
        <v>19</v>
      </c>
      <c r="J32" s="45">
        <v>19</v>
      </c>
      <c r="K32" s="45">
        <v>19</v>
      </c>
      <c r="L32" s="45">
        <v>19</v>
      </c>
      <c r="M32" s="45">
        <v>19</v>
      </c>
      <c r="N32" s="45">
        <v>19</v>
      </c>
      <c r="O32" s="45">
        <v>19</v>
      </c>
      <c r="P32" s="45">
        <v>19</v>
      </c>
      <c r="Q32" s="45">
        <v>19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19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5</v>
      </c>
      <c r="I33" s="45">
        <v>5</v>
      </c>
      <c r="J33" s="45">
        <v>5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5</v>
      </c>
      <c r="Q33" s="45">
        <v>5</v>
      </c>
      <c r="R33" s="45">
        <v>0</v>
      </c>
      <c r="S33" s="45">
        <v>0</v>
      </c>
      <c r="T33" s="45">
        <v>0</v>
      </c>
      <c r="U33" s="45">
        <v>0</v>
      </c>
      <c r="V33" s="45">
        <v>0</v>
      </c>
      <c r="W33" s="45">
        <v>0</v>
      </c>
      <c r="X33" s="45">
        <v>0</v>
      </c>
      <c r="Y33" s="45">
        <v>5</v>
      </c>
      <c r="Z33" s="45">
        <v>5</v>
      </c>
      <c r="AA33" s="45">
        <v>4</v>
      </c>
      <c r="AB33" s="45">
        <v>4</v>
      </c>
      <c r="AC33" s="45">
        <v>0</v>
      </c>
      <c r="AD33" s="45">
        <v>0</v>
      </c>
      <c r="AE33" s="45">
        <v>0</v>
      </c>
      <c r="AF33" s="45">
        <v>0</v>
      </c>
      <c r="AG33" s="49">
        <v>20</v>
      </c>
      <c r="AH33" s="47">
        <f t="shared" si="2"/>
        <v>5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4</v>
      </c>
      <c r="I34" s="45">
        <v>4</v>
      </c>
      <c r="J34" s="45">
        <v>4</v>
      </c>
      <c r="K34" s="45">
        <v>4</v>
      </c>
      <c r="L34" s="45">
        <v>4</v>
      </c>
      <c r="M34" s="45">
        <v>4</v>
      </c>
      <c r="N34" s="45">
        <v>4</v>
      </c>
      <c r="O34" s="45">
        <v>4</v>
      </c>
      <c r="P34" s="45">
        <v>4</v>
      </c>
      <c r="Q34" s="45">
        <v>4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5</v>
      </c>
      <c r="Z34" s="45">
        <v>5</v>
      </c>
      <c r="AA34" s="45">
        <v>4</v>
      </c>
      <c r="AB34" s="45">
        <v>4</v>
      </c>
      <c r="AC34" s="45">
        <v>2</v>
      </c>
      <c r="AD34" s="45">
        <v>2</v>
      </c>
      <c r="AE34" s="45">
        <v>2</v>
      </c>
      <c r="AF34" s="45">
        <v>2</v>
      </c>
      <c r="AG34" s="49">
        <v>18</v>
      </c>
      <c r="AH34" s="47">
        <f t="shared" si="2"/>
        <v>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7</v>
      </c>
      <c r="C37" s="45">
        <v>7</v>
      </c>
      <c r="D37" s="45">
        <v>7</v>
      </c>
      <c r="E37" s="45">
        <v>7</v>
      </c>
      <c r="F37" s="45">
        <v>7</v>
      </c>
      <c r="G37" s="45">
        <v>7</v>
      </c>
      <c r="H37" s="45">
        <v>7</v>
      </c>
      <c r="I37" s="45">
        <v>7</v>
      </c>
      <c r="J37" s="45">
        <v>7</v>
      </c>
      <c r="K37" s="45">
        <v>7</v>
      </c>
      <c r="L37" s="45">
        <v>7</v>
      </c>
      <c r="M37" s="45">
        <v>7</v>
      </c>
      <c r="N37" s="45">
        <v>7</v>
      </c>
      <c r="O37" s="45">
        <v>7</v>
      </c>
      <c r="P37" s="45">
        <v>7</v>
      </c>
      <c r="Q37" s="45">
        <v>7</v>
      </c>
      <c r="R37" s="45">
        <v>7</v>
      </c>
      <c r="S37" s="45">
        <v>7</v>
      </c>
      <c r="T37" s="45">
        <v>7</v>
      </c>
      <c r="U37" s="45">
        <v>7</v>
      </c>
      <c r="V37" s="45">
        <v>7</v>
      </c>
      <c r="W37" s="45">
        <v>7</v>
      </c>
      <c r="X37" s="45">
        <v>7</v>
      </c>
      <c r="Y37" s="45">
        <v>7</v>
      </c>
      <c r="Z37" s="45">
        <v>7</v>
      </c>
      <c r="AA37" s="45">
        <v>7</v>
      </c>
      <c r="AB37" s="45">
        <v>7</v>
      </c>
      <c r="AC37" s="45">
        <v>7</v>
      </c>
      <c r="AD37" s="45">
        <v>7</v>
      </c>
      <c r="AE37" s="45">
        <v>7</v>
      </c>
      <c r="AF37" s="45">
        <v>7</v>
      </c>
      <c r="AG37" s="49">
        <v>13.6</v>
      </c>
      <c r="AH37" s="47">
        <f t="shared" si="2"/>
        <v>7</v>
      </c>
      <c r="AI37" s="48">
        <f t="shared" si="3"/>
        <v>7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6</v>
      </c>
      <c r="F39" s="45">
        <v>6</v>
      </c>
      <c r="G39" s="45">
        <v>6</v>
      </c>
      <c r="H39" s="45">
        <v>6</v>
      </c>
      <c r="I39" s="45">
        <v>6</v>
      </c>
      <c r="J39" s="45">
        <v>12</v>
      </c>
      <c r="K39" s="45">
        <v>12</v>
      </c>
      <c r="L39" s="45">
        <v>12</v>
      </c>
      <c r="M39" s="45">
        <v>12</v>
      </c>
      <c r="N39" s="45">
        <v>12</v>
      </c>
      <c r="O39" s="45">
        <v>6</v>
      </c>
      <c r="P39" s="45">
        <v>6</v>
      </c>
      <c r="Q39" s="45">
        <v>2</v>
      </c>
      <c r="R39" s="45">
        <v>2</v>
      </c>
      <c r="S39" s="45">
        <v>2</v>
      </c>
      <c r="T39" s="45">
        <v>2</v>
      </c>
      <c r="U39" s="45">
        <v>2</v>
      </c>
      <c r="V39" s="45">
        <v>2</v>
      </c>
      <c r="W39" s="45">
        <v>6</v>
      </c>
      <c r="X39" s="45">
        <v>6</v>
      </c>
      <c r="Y39" s="45">
        <v>10</v>
      </c>
      <c r="Z39" s="45">
        <v>10</v>
      </c>
      <c r="AA39" s="45">
        <v>10</v>
      </c>
      <c r="AB39" s="45">
        <v>10</v>
      </c>
      <c r="AC39" s="45">
        <v>10</v>
      </c>
      <c r="AD39" s="45">
        <v>10</v>
      </c>
      <c r="AE39" s="45">
        <v>10</v>
      </c>
      <c r="AF39" s="45">
        <v>2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10</v>
      </c>
      <c r="N46" s="45">
        <v>10</v>
      </c>
      <c r="O46" s="45">
        <v>10</v>
      </c>
      <c r="P46" s="45">
        <v>10</v>
      </c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10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f>33.5+92.1</f>
        <v>125.6</v>
      </c>
      <c r="C49" s="56">
        <f>33.5+92.1</f>
        <v>125.6</v>
      </c>
      <c r="D49" s="56">
        <f>33.5+92.1</f>
        <v>125.6</v>
      </c>
      <c r="E49" s="58">
        <v>133.80000000000001</v>
      </c>
      <c r="F49" s="58">
        <v>133.80000000000001</v>
      </c>
      <c r="G49" s="58">
        <v>133.80000000000001</v>
      </c>
      <c r="H49" s="58">
        <v>133.80000000000001</v>
      </c>
      <c r="I49" s="58">
        <v>133.80000000000001</v>
      </c>
      <c r="J49" s="58">
        <v>131</v>
      </c>
      <c r="K49" s="58">
        <v>131</v>
      </c>
      <c r="L49" s="58">
        <v>131</v>
      </c>
      <c r="M49" s="58">
        <f>93.9+37.2</f>
        <v>131.10000000000002</v>
      </c>
      <c r="N49" s="58">
        <f>93+36.9</f>
        <v>129.9</v>
      </c>
      <c r="O49" s="58">
        <f>92.7+36.8</f>
        <v>129.5</v>
      </c>
      <c r="P49" s="58">
        <f>93.7+37</f>
        <v>130.69999999999999</v>
      </c>
      <c r="Q49" s="58">
        <f>93.7+37</f>
        <v>130.69999999999999</v>
      </c>
      <c r="R49" s="58">
        <f t="shared" ref="R49:X49" si="4">36.9+93</f>
        <v>129.9</v>
      </c>
      <c r="S49" s="58">
        <f t="shared" si="4"/>
        <v>129.9</v>
      </c>
      <c r="T49" s="58">
        <f t="shared" si="4"/>
        <v>129.9</v>
      </c>
      <c r="U49" s="58">
        <f t="shared" si="4"/>
        <v>129.9</v>
      </c>
      <c r="V49" s="58">
        <f t="shared" si="4"/>
        <v>129.9</v>
      </c>
      <c r="W49" s="58">
        <f t="shared" si="4"/>
        <v>129.9</v>
      </c>
      <c r="X49" s="58">
        <f t="shared" si="4"/>
        <v>129.9</v>
      </c>
      <c r="Y49" s="56">
        <v>121.8</v>
      </c>
      <c r="Z49" s="56">
        <v>121.8</v>
      </c>
      <c r="AA49" s="56">
        <v>121.8</v>
      </c>
      <c r="AB49" s="56">
        <v>121.8</v>
      </c>
      <c r="AC49" s="56">
        <v>121.8</v>
      </c>
      <c r="AD49" s="56">
        <v>121.8</v>
      </c>
      <c r="AE49" s="56">
        <v>121.8</v>
      </c>
      <c r="AF49" s="56">
        <v>121.8</v>
      </c>
      <c r="AG49" s="54">
        <v>240</v>
      </c>
      <c r="AH49" s="47">
        <f t="shared" si="2"/>
        <v>133.80000000000001</v>
      </c>
      <c r="AI49" s="48">
        <f t="shared" si="3"/>
        <v>121.8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1041.9000000000001</v>
      </c>
      <c r="C50" s="60">
        <f t="shared" si="5"/>
        <v>1041.9000000000001</v>
      </c>
      <c r="D50" s="60">
        <f t="shared" si="5"/>
        <v>1037.9000000000001</v>
      </c>
      <c r="E50" s="60">
        <f t="shared" si="5"/>
        <v>1099.9000000000001</v>
      </c>
      <c r="F50" s="60">
        <f t="shared" si="5"/>
        <v>1090.9000000000001</v>
      </c>
      <c r="G50" s="60">
        <f t="shared" si="5"/>
        <v>1119.9000000000001</v>
      </c>
      <c r="H50" s="60">
        <f t="shared" si="5"/>
        <v>1128.9000000000001</v>
      </c>
      <c r="I50" s="60">
        <f t="shared" si="5"/>
        <v>1128.9000000000001</v>
      </c>
      <c r="J50" s="60">
        <f t="shared" si="5"/>
        <v>1166.5999999999999</v>
      </c>
      <c r="K50" s="60">
        <f t="shared" si="5"/>
        <v>1199.4000000000001</v>
      </c>
      <c r="L50" s="60">
        <f t="shared" si="5"/>
        <v>1197.4000000000001</v>
      </c>
      <c r="M50" s="60">
        <f t="shared" si="5"/>
        <v>1190.5999999999999</v>
      </c>
      <c r="N50" s="60">
        <f t="shared" si="5"/>
        <v>1190.5999999999999</v>
      </c>
      <c r="O50" s="60">
        <f t="shared" si="5"/>
        <v>1153.3</v>
      </c>
      <c r="P50" s="60">
        <f t="shared" si="5"/>
        <v>1154.0999999999999</v>
      </c>
      <c r="Q50" s="60">
        <f t="shared" si="5"/>
        <v>1131.9000000000001</v>
      </c>
      <c r="R50" s="60">
        <f t="shared" si="5"/>
        <v>1118.7</v>
      </c>
      <c r="S50" s="60">
        <f t="shared" ref="S50:AA50" si="6">SUM(S11:S48)</f>
        <v>1115.8000000000002</v>
      </c>
      <c r="T50" s="60">
        <f t="shared" si="6"/>
        <v>1115.8000000000002</v>
      </c>
      <c r="U50" s="60">
        <f t="shared" si="6"/>
        <v>1120.0999999999999</v>
      </c>
      <c r="V50" s="60">
        <f t="shared" si="6"/>
        <v>1120.0999999999999</v>
      </c>
      <c r="W50" s="60">
        <f t="shared" si="6"/>
        <v>1145.9000000000001</v>
      </c>
      <c r="X50" s="60">
        <f t="shared" si="6"/>
        <v>1156</v>
      </c>
      <c r="Y50" s="60">
        <f t="shared" si="6"/>
        <v>1192.0999999999999</v>
      </c>
      <c r="Z50" s="60">
        <f t="shared" si="6"/>
        <v>1192.0999999999999</v>
      </c>
      <c r="AA50" s="60">
        <f t="shared" si="6"/>
        <v>1190.0999999999999</v>
      </c>
      <c r="AB50" s="60">
        <f t="shared" si="5"/>
        <v>1190.0999999999999</v>
      </c>
      <c r="AC50" s="60">
        <f t="shared" si="5"/>
        <v>1190.3000000000002</v>
      </c>
      <c r="AD50" s="60">
        <f t="shared" si="5"/>
        <v>1190.3000000000002</v>
      </c>
      <c r="AE50" s="60">
        <f t="shared" si="5"/>
        <v>1128.2</v>
      </c>
      <c r="AF50" s="60">
        <f t="shared" si="5"/>
        <v>1113.2</v>
      </c>
      <c r="AG50" s="61">
        <f>SUM(AG13:AG48)</f>
        <v>922.14</v>
      </c>
      <c r="AH50" s="47">
        <f t="shared" si="2"/>
        <v>1199.4000000000001</v>
      </c>
      <c r="AI50" s="48">
        <f t="shared" si="3"/>
        <v>1037.9000000000001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21.1</v>
      </c>
      <c r="C53" s="66">
        <v>21.1</v>
      </c>
      <c r="D53" s="66">
        <v>21.1</v>
      </c>
      <c r="E53" s="66">
        <v>21.1</v>
      </c>
      <c r="F53" s="66">
        <v>21.1</v>
      </c>
      <c r="G53" s="66">
        <v>21.1</v>
      </c>
      <c r="H53" s="66">
        <v>21.1</v>
      </c>
      <c r="I53" s="66">
        <v>21.1</v>
      </c>
      <c r="J53" s="66">
        <v>21.1</v>
      </c>
      <c r="K53" s="66">
        <v>21.1</v>
      </c>
      <c r="L53" s="66">
        <v>21.1</v>
      </c>
      <c r="M53" s="66">
        <v>1</v>
      </c>
      <c r="N53" s="66">
        <v>21.1</v>
      </c>
      <c r="O53" s="66">
        <v>21.1</v>
      </c>
      <c r="P53" s="66">
        <v>21.1</v>
      </c>
      <c r="Q53" s="66">
        <v>21.1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22.5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1</v>
      </c>
      <c r="AK53" s="50"/>
    </row>
    <row r="54" spans="1:41" ht="15.75" thickBot="1" x14ac:dyDescent="0.3">
      <c r="A54" s="68" t="s">
        <v>62</v>
      </c>
      <c r="B54" s="60">
        <f t="shared" ref="B54:AG54" si="7">SUM(B51:B53)</f>
        <v>537.1</v>
      </c>
      <c r="C54" s="60">
        <f t="shared" si="7"/>
        <v>537.1</v>
      </c>
      <c r="D54" s="60">
        <f t="shared" si="7"/>
        <v>537.1</v>
      </c>
      <c r="E54" s="60">
        <f t="shared" si="7"/>
        <v>537.1</v>
      </c>
      <c r="F54" s="60">
        <f t="shared" si="7"/>
        <v>537.1</v>
      </c>
      <c r="G54" s="60">
        <f t="shared" si="7"/>
        <v>537.1</v>
      </c>
      <c r="H54" s="60">
        <f t="shared" si="7"/>
        <v>537.1</v>
      </c>
      <c r="I54" s="60">
        <f t="shared" si="7"/>
        <v>537.1</v>
      </c>
      <c r="J54" s="60">
        <f t="shared" si="7"/>
        <v>537.1</v>
      </c>
      <c r="K54" s="60">
        <f t="shared" si="7"/>
        <v>537.1</v>
      </c>
      <c r="L54" s="60">
        <f t="shared" si="7"/>
        <v>537.1</v>
      </c>
      <c r="M54" s="60">
        <f t="shared" si="7"/>
        <v>517</v>
      </c>
      <c r="N54" s="60">
        <f t="shared" si="7"/>
        <v>537.1</v>
      </c>
      <c r="O54" s="60">
        <f t="shared" si="7"/>
        <v>537.1</v>
      </c>
      <c r="P54" s="60">
        <f t="shared" si="7"/>
        <v>537.1</v>
      </c>
      <c r="Q54" s="60">
        <f t="shared" si="7"/>
        <v>537.1</v>
      </c>
      <c r="R54" s="60">
        <f t="shared" si="7"/>
        <v>538.5</v>
      </c>
      <c r="S54" s="60">
        <f>SUM(S51:S53)</f>
        <v>538.5</v>
      </c>
      <c r="T54" s="60">
        <f>SUM(T51:T53)</f>
        <v>538.5</v>
      </c>
      <c r="U54" s="60">
        <f>SUM(U51:U53)</f>
        <v>538.5</v>
      </c>
      <c r="V54" s="60">
        <v>140.69999999999999</v>
      </c>
      <c r="W54" s="60">
        <v>140.69999999999999</v>
      </c>
      <c r="X54" s="60">
        <v>140.69999999999999</v>
      </c>
      <c r="Y54" s="60">
        <f>SUM(Y51:Y53)</f>
        <v>538.5</v>
      </c>
      <c r="Z54" s="60">
        <f>SUM(Z51:Z53)</f>
        <v>538.5</v>
      </c>
      <c r="AA54" s="60">
        <f>SUM(AA51:AA53)</f>
        <v>538.5</v>
      </c>
      <c r="AB54" s="60">
        <f t="shared" si="7"/>
        <v>538.5</v>
      </c>
      <c r="AC54" s="60">
        <f t="shared" si="7"/>
        <v>538.5</v>
      </c>
      <c r="AD54" s="60">
        <f t="shared" si="7"/>
        <v>538.5</v>
      </c>
      <c r="AE54" s="60">
        <f t="shared" si="7"/>
        <v>538.5</v>
      </c>
      <c r="AF54" s="60">
        <f t="shared" si="7"/>
        <v>538.5</v>
      </c>
      <c r="AG54" s="61">
        <f t="shared" si="7"/>
        <v>538.1</v>
      </c>
      <c r="AH54" s="47">
        <f t="shared" si="2"/>
        <v>538.5</v>
      </c>
      <c r="AI54" s="48">
        <f t="shared" si="3"/>
        <v>140.69999999999999</v>
      </c>
      <c r="AK54" s="50"/>
    </row>
    <row r="55" spans="1:41" x14ac:dyDescent="0.25">
      <c r="A55" s="44" t="s">
        <v>63</v>
      </c>
      <c r="B55" s="45">
        <v>131</v>
      </c>
      <c r="C55" s="45">
        <v>131</v>
      </c>
      <c r="D55" s="45">
        <v>133.1</v>
      </c>
      <c r="E55" s="45">
        <v>70.8</v>
      </c>
      <c r="F55" s="45">
        <v>70.8</v>
      </c>
      <c r="G55" s="45">
        <v>70.900000000000006</v>
      </c>
      <c r="H55" s="45">
        <v>94.6</v>
      </c>
      <c r="I55" s="45">
        <v>94.6</v>
      </c>
      <c r="J55" s="45">
        <v>93.1</v>
      </c>
      <c r="K55" s="45">
        <v>135</v>
      </c>
      <c r="L55" s="45">
        <v>95.6</v>
      </c>
      <c r="M55" s="45">
        <v>134.69999999999999</v>
      </c>
      <c r="N55" s="45">
        <v>135.19999999999999</v>
      </c>
      <c r="O55" s="45">
        <v>127.6</v>
      </c>
      <c r="P55" s="45">
        <v>136.6</v>
      </c>
      <c r="Q55" s="45">
        <v>133.30000000000001</v>
      </c>
      <c r="R55" s="45">
        <v>121.4</v>
      </c>
      <c r="S55" s="45">
        <v>138.1</v>
      </c>
      <c r="T55" s="45">
        <v>138.1</v>
      </c>
      <c r="U55" s="45">
        <v>136.5</v>
      </c>
      <c r="V55" s="45">
        <v>140.9</v>
      </c>
      <c r="W55" s="45">
        <v>133.80000000000001</v>
      </c>
      <c r="X55" s="45">
        <v>133.80000000000001</v>
      </c>
      <c r="Y55" s="45">
        <v>133.80000000000001</v>
      </c>
      <c r="Z55" s="45">
        <v>136.4</v>
      </c>
      <c r="AA55" s="45">
        <v>136.4</v>
      </c>
      <c r="AB55" s="45">
        <v>136.4</v>
      </c>
      <c r="AC55" s="45">
        <v>136.4</v>
      </c>
      <c r="AD55" s="45">
        <v>136.4</v>
      </c>
      <c r="AE55" s="45">
        <v>136.4</v>
      </c>
      <c r="AF55" s="45">
        <v>136.4</v>
      </c>
      <c r="AG55" s="51">
        <v>144</v>
      </c>
      <c r="AH55" s="47">
        <f t="shared" si="2"/>
        <v>140.9</v>
      </c>
      <c r="AI55" s="48">
        <f t="shared" si="3"/>
        <v>70.8</v>
      </c>
      <c r="AK55" s="50"/>
    </row>
    <row r="56" spans="1:41" x14ac:dyDescent="0.25">
      <c r="A56" s="53" t="s">
        <v>64</v>
      </c>
      <c r="B56" s="64">
        <v>59.3</v>
      </c>
      <c r="C56" s="64">
        <v>59.3</v>
      </c>
      <c r="D56" s="64">
        <v>64.400000000000006</v>
      </c>
      <c r="E56" s="64">
        <v>68</v>
      </c>
      <c r="F56" s="64">
        <v>68</v>
      </c>
      <c r="G56" s="64">
        <v>70.400000000000006</v>
      </c>
      <c r="H56" s="64">
        <v>70.5</v>
      </c>
      <c r="I56" s="64">
        <v>70.5</v>
      </c>
      <c r="J56" s="64">
        <v>69.599999999999994</v>
      </c>
      <c r="K56" s="64">
        <v>69.900000000000006</v>
      </c>
      <c r="L56" s="64">
        <v>68.7</v>
      </c>
      <c r="M56" s="64">
        <v>70.2</v>
      </c>
      <c r="N56" s="64">
        <v>69.900000000000006</v>
      </c>
      <c r="O56" s="64">
        <v>60.4</v>
      </c>
      <c r="P56" s="64">
        <v>59.1</v>
      </c>
      <c r="Q56" s="64">
        <v>69.400000000000006</v>
      </c>
      <c r="R56" s="64">
        <v>70.3</v>
      </c>
      <c r="S56" s="64">
        <v>61.6</v>
      </c>
      <c r="T56" s="64">
        <v>61.6</v>
      </c>
      <c r="U56" s="64">
        <v>61.6</v>
      </c>
      <c r="V56" s="64">
        <v>68.8</v>
      </c>
      <c r="W56" s="64">
        <v>69</v>
      </c>
      <c r="X56" s="64">
        <v>70.2</v>
      </c>
      <c r="Y56" s="45">
        <v>69</v>
      </c>
      <c r="Z56" s="45">
        <v>68</v>
      </c>
      <c r="AA56" s="45">
        <v>68</v>
      </c>
      <c r="AB56" s="45">
        <v>68</v>
      </c>
      <c r="AC56" s="45">
        <v>68</v>
      </c>
      <c r="AD56" s="45">
        <v>68</v>
      </c>
      <c r="AE56" s="45">
        <v>68</v>
      </c>
      <c r="AF56" s="45">
        <v>68</v>
      </c>
      <c r="AG56" s="54">
        <v>70</v>
      </c>
      <c r="AH56" s="47">
        <f t="shared" si="2"/>
        <v>70.5</v>
      </c>
      <c r="AI56" s="48">
        <f t="shared" si="3"/>
        <v>59.1</v>
      </c>
      <c r="AK56" s="50"/>
    </row>
    <row r="57" spans="1:41" x14ac:dyDescent="0.25">
      <c r="A57" s="53" t="s">
        <v>65</v>
      </c>
      <c r="B57" s="64">
        <v>62.7</v>
      </c>
      <c r="C57" s="64">
        <v>62.7</v>
      </c>
      <c r="D57" s="64">
        <v>63</v>
      </c>
      <c r="E57" s="64">
        <v>62.4</v>
      </c>
      <c r="F57" s="64">
        <v>62.4</v>
      </c>
      <c r="G57" s="64">
        <v>63.5</v>
      </c>
      <c r="H57" s="64">
        <v>63.8</v>
      </c>
      <c r="I57" s="64">
        <v>63.8</v>
      </c>
      <c r="J57" s="64">
        <v>64.599999999999994</v>
      </c>
      <c r="K57" s="64">
        <v>63.9</v>
      </c>
      <c r="L57" s="64">
        <v>63.8</v>
      </c>
      <c r="M57" s="64">
        <v>62.2</v>
      </c>
      <c r="N57" s="64">
        <v>58.8</v>
      </c>
      <c r="O57" s="64">
        <v>65</v>
      </c>
      <c r="P57" s="64">
        <v>64.8</v>
      </c>
      <c r="Q57" s="64">
        <v>64.3</v>
      </c>
      <c r="R57" s="64">
        <v>65.099999999999994</v>
      </c>
      <c r="S57" s="64">
        <v>65.099999999999994</v>
      </c>
      <c r="T57" s="64">
        <v>65.099999999999994</v>
      </c>
      <c r="U57" s="64">
        <v>65.099999999999994</v>
      </c>
      <c r="V57" s="64">
        <v>65</v>
      </c>
      <c r="W57" s="64">
        <v>65.3</v>
      </c>
      <c r="X57" s="64">
        <v>65.2</v>
      </c>
      <c r="Y57" s="45">
        <v>65.8</v>
      </c>
      <c r="Z57" s="45">
        <v>64.900000000000006</v>
      </c>
      <c r="AA57" s="45">
        <v>64.900000000000006</v>
      </c>
      <c r="AB57" s="45">
        <v>64.900000000000006</v>
      </c>
      <c r="AC57" s="45">
        <v>64.900000000000006</v>
      </c>
      <c r="AD57" s="45">
        <v>64.900000000000006</v>
      </c>
      <c r="AE57" s="45">
        <v>64.900000000000006</v>
      </c>
      <c r="AF57" s="45">
        <v>64.900000000000006</v>
      </c>
      <c r="AG57" s="54">
        <v>69</v>
      </c>
      <c r="AH57" s="47">
        <f t="shared" si="2"/>
        <v>65.8</v>
      </c>
      <c r="AI57" s="48">
        <f t="shared" si="3"/>
        <v>58.8</v>
      </c>
      <c r="AK57" s="50"/>
    </row>
    <row r="58" spans="1:41" x14ac:dyDescent="0.25">
      <c r="A58" s="53" t="s">
        <v>66</v>
      </c>
      <c r="B58" s="64">
        <v>31.3</v>
      </c>
      <c r="C58" s="64">
        <v>31.3</v>
      </c>
      <c r="D58" s="64">
        <v>31.3</v>
      </c>
      <c r="E58" s="56">
        <v>31</v>
      </c>
      <c r="F58" s="56">
        <v>31</v>
      </c>
      <c r="G58" s="56">
        <v>31</v>
      </c>
      <c r="H58" s="56">
        <v>31</v>
      </c>
      <c r="I58" s="56">
        <v>31</v>
      </c>
      <c r="J58" s="56">
        <v>31</v>
      </c>
      <c r="K58" s="56">
        <v>31</v>
      </c>
      <c r="L58" s="56">
        <v>31</v>
      </c>
      <c r="M58" s="64">
        <v>27.2</v>
      </c>
      <c r="N58" s="64">
        <v>27.2</v>
      </c>
      <c r="O58" s="64">
        <v>28.2</v>
      </c>
      <c r="P58" s="64">
        <v>28.2</v>
      </c>
      <c r="Q58" s="64">
        <v>29</v>
      </c>
      <c r="R58" s="64">
        <v>29</v>
      </c>
      <c r="S58" s="64">
        <v>29</v>
      </c>
      <c r="T58" s="64">
        <v>29</v>
      </c>
      <c r="U58" s="64">
        <v>29</v>
      </c>
      <c r="V58" s="64">
        <v>29</v>
      </c>
      <c r="W58" s="64">
        <v>0</v>
      </c>
      <c r="X58" s="64">
        <v>30.2</v>
      </c>
      <c r="Y58" s="45">
        <v>30.5</v>
      </c>
      <c r="Z58" s="45">
        <v>30.5</v>
      </c>
      <c r="AA58" s="45">
        <v>30.5</v>
      </c>
      <c r="AB58" s="45">
        <v>30.5</v>
      </c>
      <c r="AC58" s="45">
        <v>30.5</v>
      </c>
      <c r="AD58" s="45">
        <v>30.5</v>
      </c>
      <c r="AE58" s="45">
        <v>30.5</v>
      </c>
      <c r="AF58" s="45">
        <v>30.5</v>
      </c>
      <c r="AG58" s="54">
        <v>60</v>
      </c>
      <c r="AH58" s="47">
        <f t="shared" si="2"/>
        <v>31.3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56">
        <v>28</v>
      </c>
      <c r="F59" s="56">
        <v>26</v>
      </c>
      <c r="G59" s="56">
        <v>30</v>
      </c>
      <c r="H59" s="56">
        <v>30</v>
      </c>
      <c r="I59" s="56">
        <v>30</v>
      </c>
      <c r="J59" s="56">
        <v>30</v>
      </c>
      <c r="K59" s="56">
        <v>30</v>
      </c>
      <c r="L59" s="56">
        <v>30</v>
      </c>
      <c r="M59" s="64">
        <v>30</v>
      </c>
      <c r="N59" s="64">
        <v>29</v>
      </c>
      <c r="O59" s="64">
        <v>29</v>
      </c>
      <c r="P59" s="64">
        <v>29</v>
      </c>
      <c r="Q59" s="64">
        <v>29</v>
      </c>
      <c r="R59" s="64">
        <v>29</v>
      </c>
      <c r="S59" s="64">
        <v>29</v>
      </c>
      <c r="T59" s="64">
        <v>29</v>
      </c>
      <c r="U59" s="64">
        <v>29</v>
      </c>
      <c r="V59" s="64">
        <v>29</v>
      </c>
      <c r="W59" s="64">
        <v>29</v>
      </c>
      <c r="X59" s="64">
        <v>29</v>
      </c>
      <c r="Y59" s="45">
        <v>29</v>
      </c>
      <c r="Z59" s="45">
        <v>29</v>
      </c>
      <c r="AA59" s="45">
        <v>29</v>
      </c>
      <c r="AB59" s="45">
        <v>29</v>
      </c>
      <c r="AC59" s="45">
        <v>29</v>
      </c>
      <c r="AD59" s="45">
        <v>29</v>
      </c>
      <c r="AE59" s="45">
        <v>29</v>
      </c>
      <c r="AF59" s="45">
        <v>29</v>
      </c>
      <c r="AG59" s="54">
        <v>30</v>
      </c>
      <c r="AH59" s="47">
        <f t="shared" si="2"/>
        <v>30</v>
      </c>
      <c r="AI59" s="48">
        <f t="shared" si="3"/>
        <v>26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5.5</v>
      </c>
      <c r="M60" s="64">
        <v>9.4</v>
      </c>
      <c r="N60" s="64">
        <v>10.3</v>
      </c>
      <c r="O60" s="64">
        <v>17.100000000000001</v>
      </c>
      <c r="P60" s="64">
        <v>18.600000000000001</v>
      </c>
      <c r="Q60" s="64">
        <v>18.600000000000001</v>
      </c>
      <c r="R60" s="64">
        <v>17.7</v>
      </c>
      <c r="S60" s="64">
        <v>12.8</v>
      </c>
      <c r="T60" s="64">
        <v>11</v>
      </c>
      <c r="U60" s="64">
        <v>6.5</v>
      </c>
      <c r="V60" s="64">
        <v>0.5</v>
      </c>
      <c r="W60" s="64">
        <v>0.5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18.600000000000001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0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11.1</v>
      </c>
      <c r="C63" s="64">
        <v>11.1</v>
      </c>
      <c r="D63" s="64">
        <v>11.1</v>
      </c>
      <c r="E63" s="64">
        <v>11</v>
      </c>
      <c r="F63" s="64">
        <v>11</v>
      </c>
      <c r="G63" s="64">
        <v>11</v>
      </c>
      <c r="H63" s="64">
        <v>11</v>
      </c>
      <c r="I63" s="64">
        <v>11</v>
      </c>
      <c r="J63" s="64">
        <v>11</v>
      </c>
      <c r="K63" s="64">
        <v>11</v>
      </c>
      <c r="L63" s="64">
        <v>11</v>
      </c>
      <c r="M63" s="64">
        <v>9.6999999999999993</v>
      </c>
      <c r="N63" s="64">
        <v>9.6999999999999993</v>
      </c>
      <c r="O63" s="64">
        <v>9.6999999999999993</v>
      </c>
      <c r="P63" s="64">
        <v>11.8</v>
      </c>
      <c r="Q63" s="64">
        <v>11.8</v>
      </c>
      <c r="R63" s="64">
        <v>10.7</v>
      </c>
      <c r="S63" s="64">
        <v>10.7</v>
      </c>
      <c r="T63" s="64">
        <v>10.7</v>
      </c>
      <c r="U63" s="64">
        <v>10.7</v>
      </c>
      <c r="V63" s="64">
        <v>10.7</v>
      </c>
      <c r="W63" s="64">
        <v>10.7</v>
      </c>
      <c r="X63" s="64">
        <v>11</v>
      </c>
      <c r="Y63" s="64">
        <v>11.3</v>
      </c>
      <c r="Z63" s="64">
        <v>11.3</v>
      </c>
      <c r="AA63" s="64">
        <v>11.3</v>
      </c>
      <c r="AB63" s="64">
        <v>11.3</v>
      </c>
      <c r="AC63" s="64">
        <v>11.3</v>
      </c>
      <c r="AD63" s="64">
        <v>11.3</v>
      </c>
      <c r="AE63" s="64">
        <v>11.3</v>
      </c>
      <c r="AF63" s="64">
        <v>11.3</v>
      </c>
      <c r="AG63" s="54">
        <v>14.1</v>
      </c>
      <c r="AH63" s="47">
        <f t="shared" si="2"/>
        <v>11.8</v>
      </c>
      <c r="AI63" s="48">
        <f t="shared" si="3"/>
        <v>9.6999999999999993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6.4</v>
      </c>
      <c r="C64" s="64">
        <v>6.4</v>
      </c>
      <c r="D64" s="64">
        <v>6.4</v>
      </c>
      <c r="E64" s="64">
        <v>5.6</v>
      </c>
      <c r="F64" s="64">
        <v>5.6</v>
      </c>
      <c r="G64" s="64">
        <v>5.6</v>
      </c>
      <c r="H64" s="64">
        <v>5.6</v>
      </c>
      <c r="I64" s="64">
        <v>5.6</v>
      </c>
      <c r="J64" s="64">
        <v>5.6</v>
      </c>
      <c r="K64" s="64">
        <v>5.6</v>
      </c>
      <c r="L64" s="64">
        <v>5.6</v>
      </c>
      <c r="M64" s="64">
        <v>5.6</v>
      </c>
      <c r="N64" s="64">
        <v>5.6</v>
      </c>
      <c r="O64" s="64">
        <v>14</v>
      </c>
      <c r="P64" s="64">
        <v>11.8</v>
      </c>
      <c r="Q64" s="64">
        <v>11.8</v>
      </c>
      <c r="R64" s="64">
        <v>13.8</v>
      </c>
      <c r="S64" s="64">
        <v>13.8</v>
      </c>
      <c r="T64" s="64">
        <v>13.8</v>
      </c>
      <c r="U64" s="64">
        <v>13.8</v>
      </c>
      <c r="V64" s="64">
        <v>13.8</v>
      </c>
      <c r="W64" s="64">
        <v>13.8</v>
      </c>
      <c r="X64" s="64">
        <v>10.5</v>
      </c>
      <c r="Y64" s="64">
        <v>10.5</v>
      </c>
      <c r="Z64" s="64">
        <v>10.5</v>
      </c>
      <c r="AA64" s="64">
        <v>10.5</v>
      </c>
      <c r="AB64" s="64">
        <v>10.5</v>
      </c>
      <c r="AC64" s="64">
        <v>10.5</v>
      </c>
      <c r="AD64" s="64">
        <v>10.5</v>
      </c>
      <c r="AE64" s="64">
        <v>10.5</v>
      </c>
      <c r="AF64" s="64">
        <v>10.5</v>
      </c>
      <c r="AG64" s="54">
        <v>14</v>
      </c>
      <c r="AH64" s="47">
        <f t="shared" si="2"/>
        <v>14</v>
      </c>
      <c r="AI64" s="48">
        <f t="shared" si="3"/>
        <v>5.6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8">SUM(B55:B67)</f>
        <v>368.54</v>
      </c>
      <c r="C68" s="60">
        <f t="shared" si="8"/>
        <v>368.54</v>
      </c>
      <c r="D68" s="60">
        <f t="shared" si="8"/>
        <v>376.04</v>
      </c>
      <c r="E68" s="60">
        <f t="shared" si="8"/>
        <v>315.54000000000008</v>
      </c>
      <c r="F68" s="60">
        <f t="shared" si="8"/>
        <v>313.54000000000008</v>
      </c>
      <c r="G68" s="60">
        <f t="shared" si="8"/>
        <v>321.14000000000004</v>
      </c>
      <c r="H68" s="60">
        <f t="shared" si="8"/>
        <v>345.24</v>
      </c>
      <c r="I68" s="60">
        <f t="shared" si="8"/>
        <v>345.24</v>
      </c>
      <c r="J68" s="60">
        <f t="shared" si="8"/>
        <v>343.64</v>
      </c>
      <c r="K68" s="60">
        <f t="shared" si="8"/>
        <v>385.14000000000004</v>
      </c>
      <c r="L68" s="60">
        <f t="shared" si="8"/>
        <v>349.94000000000005</v>
      </c>
      <c r="M68" s="60">
        <f t="shared" si="8"/>
        <v>387.73999999999995</v>
      </c>
      <c r="N68" s="60">
        <f t="shared" si="8"/>
        <v>384.44</v>
      </c>
      <c r="O68" s="60">
        <f t="shared" si="8"/>
        <v>384.74</v>
      </c>
      <c r="P68" s="60">
        <f t="shared" si="8"/>
        <v>393.64000000000004</v>
      </c>
      <c r="Q68" s="60">
        <f t="shared" si="8"/>
        <v>400.94000000000005</v>
      </c>
      <c r="R68" s="60">
        <f t="shared" si="8"/>
        <v>390.73999999999995</v>
      </c>
      <c r="S68" s="60">
        <f t="shared" ref="S68:AA68" si="9">SUM(S55:S67)</f>
        <v>393.84</v>
      </c>
      <c r="T68" s="60">
        <f t="shared" si="9"/>
        <v>392.03999999999996</v>
      </c>
      <c r="U68" s="60">
        <f t="shared" si="9"/>
        <v>385.94</v>
      </c>
      <c r="V68" s="60">
        <f t="shared" si="9"/>
        <v>391.44</v>
      </c>
      <c r="W68" s="60">
        <f t="shared" si="9"/>
        <v>355.84000000000003</v>
      </c>
      <c r="X68" s="60">
        <f t="shared" si="9"/>
        <v>383.64</v>
      </c>
      <c r="Y68" s="60">
        <f t="shared" si="9"/>
        <v>383.64000000000004</v>
      </c>
      <c r="Z68" s="60">
        <f t="shared" si="9"/>
        <v>384.34000000000003</v>
      </c>
      <c r="AA68" s="60">
        <f t="shared" si="9"/>
        <v>384.34000000000003</v>
      </c>
      <c r="AB68" s="60">
        <f t="shared" si="8"/>
        <v>384.34000000000003</v>
      </c>
      <c r="AC68" s="60">
        <f t="shared" si="8"/>
        <v>384.34000000000003</v>
      </c>
      <c r="AD68" s="60">
        <f t="shared" si="8"/>
        <v>384.34000000000003</v>
      </c>
      <c r="AE68" s="60">
        <f t="shared" si="8"/>
        <v>384.34000000000003</v>
      </c>
      <c r="AF68" s="60">
        <f t="shared" si="8"/>
        <v>384.34000000000003</v>
      </c>
      <c r="AG68" s="61">
        <f t="shared" si="8"/>
        <v>489.91</v>
      </c>
      <c r="AH68" s="47">
        <f t="shared" si="2"/>
        <v>400.94000000000005</v>
      </c>
      <c r="AI68" s="48">
        <f t="shared" si="3"/>
        <v>313.54000000000008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>
        <v>60</v>
      </c>
      <c r="M69" s="45">
        <v>15.2</v>
      </c>
      <c r="N69" s="45">
        <v>15.2</v>
      </c>
      <c r="O69" s="45">
        <v>13.2</v>
      </c>
      <c r="P69" s="45">
        <v>10</v>
      </c>
      <c r="Q69" s="45">
        <v>10</v>
      </c>
      <c r="R69" s="45">
        <v>10</v>
      </c>
      <c r="S69" s="45">
        <v>28</v>
      </c>
      <c r="T69" s="45">
        <v>28</v>
      </c>
      <c r="U69" s="45">
        <v>13.6</v>
      </c>
      <c r="V69" s="45">
        <v>25.2</v>
      </c>
      <c r="W69" s="45">
        <v>25.2</v>
      </c>
      <c r="X69" s="45">
        <v>19.5</v>
      </c>
      <c r="Y69" s="45">
        <v>44</v>
      </c>
      <c r="Z69" s="45">
        <v>44.9</v>
      </c>
      <c r="AA69" s="45">
        <v>33.6</v>
      </c>
      <c r="AB69" s="45">
        <v>14.1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60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64"/>
      <c r="F70" s="64"/>
      <c r="G70" s="64"/>
      <c r="H70" s="64"/>
      <c r="I70" s="64"/>
      <c r="J70" s="64"/>
      <c r="K70" s="64"/>
      <c r="L70" s="64">
        <v>26.2</v>
      </c>
      <c r="M70" s="64">
        <v>6.9</v>
      </c>
      <c r="N70" s="64">
        <v>7</v>
      </c>
      <c r="O70" s="64">
        <v>6.5</v>
      </c>
      <c r="P70" s="64">
        <v>8.6</v>
      </c>
      <c r="Q70" s="64">
        <v>4</v>
      </c>
      <c r="R70" s="64">
        <v>3.8</v>
      </c>
      <c r="S70" s="64">
        <v>13.9</v>
      </c>
      <c r="T70" s="64">
        <v>13.9</v>
      </c>
      <c r="U70" s="64">
        <v>5.3</v>
      </c>
      <c r="V70" s="64">
        <v>12.3</v>
      </c>
      <c r="W70" s="64">
        <v>12.3</v>
      </c>
      <c r="X70" s="64">
        <v>14.8</v>
      </c>
      <c r="Y70" s="64">
        <v>14.7</v>
      </c>
      <c r="Z70" s="64">
        <v>19.8</v>
      </c>
      <c r="AA70" s="64">
        <v>16</v>
      </c>
      <c r="AB70" s="64">
        <v>6.9</v>
      </c>
      <c r="AC70" s="64">
        <v>7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26.2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66"/>
      <c r="F71" s="66"/>
      <c r="G71" s="66"/>
      <c r="H71" s="66"/>
      <c r="I71" s="66"/>
      <c r="J71" s="66"/>
      <c r="K71" s="66"/>
      <c r="L71" s="66">
        <v>9.6</v>
      </c>
      <c r="M71" s="66">
        <v>2.5</v>
      </c>
      <c r="N71" s="66">
        <v>2.6</v>
      </c>
      <c r="O71" s="66">
        <v>2.4</v>
      </c>
      <c r="P71" s="66">
        <v>3.1</v>
      </c>
      <c r="Q71" s="66">
        <v>1.5</v>
      </c>
      <c r="R71" s="66">
        <v>1.4</v>
      </c>
      <c r="S71" s="66">
        <v>5.0999999999999996</v>
      </c>
      <c r="T71" s="66">
        <v>5.0999999999999996</v>
      </c>
      <c r="U71" s="66">
        <v>1.9</v>
      </c>
      <c r="V71" s="66">
        <v>4.5</v>
      </c>
      <c r="W71" s="66">
        <v>4.5</v>
      </c>
      <c r="X71" s="66">
        <v>5.4</v>
      </c>
      <c r="Y71" s="66">
        <v>6</v>
      </c>
      <c r="Z71" s="66">
        <v>9.4</v>
      </c>
      <c r="AA71" s="66">
        <v>5.8</v>
      </c>
      <c r="AB71" s="66">
        <v>2.5</v>
      </c>
      <c r="AC71" s="66">
        <v>3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9.6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95.8</v>
      </c>
      <c r="M72" s="60">
        <f t="shared" ref="M72:AF72" si="10">M69+M70+M71</f>
        <v>24.6</v>
      </c>
      <c r="N72" s="60">
        <f t="shared" si="10"/>
        <v>24.8</v>
      </c>
      <c r="O72" s="60">
        <f t="shared" si="10"/>
        <v>22.099999999999998</v>
      </c>
      <c r="P72" s="60">
        <f t="shared" si="10"/>
        <v>21.700000000000003</v>
      </c>
      <c r="Q72" s="60">
        <f t="shared" si="10"/>
        <v>15.5</v>
      </c>
      <c r="R72" s="60">
        <f t="shared" si="10"/>
        <v>15.200000000000001</v>
      </c>
      <c r="S72" s="60">
        <f t="shared" ref="S72:AA72" si="11">S69+S70+S71</f>
        <v>47</v>
      </c>
      <c r="T72" s="60">
        <f t="shared" si="11"/>
        <v>47</v>
      </c>
      <c r="U72" s="60">
        <f t="shared" si="11"/>
        <v>20.799999999999997</v>
      </c>
      <c r="V72" s="60">
        <f t="shared" si="11"/>
        <v>42</v>
      </c>
      <c r="W72" s="60">
        <f t="shared" si="11"/>
        <v>42</v>
      </c>
      <c r="X72" s="60">
        <f t="shared" si="11"/>
        <v>39.699999999999996</v>
      </c>
      <c r="Y72" s="60">
        <f t="shared" si="11"/>
        <v>64.7</v>
      </c>
      <c r="Z72" s="60">
        <f t="shared" si="11"/>
        <v>74.100000000000009</v>
      </c>
      <c r="AA72" s="60">
        <f t="shared" si="11"/>
        <v>55.4</v>
      </c>
      <c r="AB72" s="60">
        <f t="shared" si="10"/>
        <v>23.5</v>
      </c>
      <c r="AC72" s="60">
        <f t="shared" si="10"/>
        <v>10</v>
      </c>
      <c r="AD72" s="60">
        <f t="shared" si="10"/>
        <v>0</v>
      </c>
      <c r="AE72" s="60">
        <f t="shared" si="10"/>
        <v>0</v>
      </c>
      <c r="AF72" s="60">
        <f t="shared" si="10"/>
        <v>0</v>
      </c>
      <c r="AG72" s="61">
        <f>SUM(AG69:AG71)</f>
        <v>106</v>
      </c>
      <c r="AH72" s="47">
        <f t="shared" si="2"/>
        <v>95.8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-66.400000000000006</v>
      </c>
      <c r="C73" s="45">
        <v>-68.2</v>
      </c>
      <c r="D73" s="45">
        <v>-69.5</v>
      </c>
      <c r="E73" s="45">
        <v>-71</v>
      </c>
      <c r="F73" s="45">
        <v>-73</v>
      </c>
      <c r="G73" s="45">
        <v>-66.3</v>
      </c>
      <c r="H73" s="45">
        <v>-63.2</v>
      </c>
      <c r="I73" s="45">
        <v>-68.400000000000006</v>
      </c>
      <c r="J73" s="45">
        <v>-67</v>
      </c>
      <c r="K73" s="45">
        <v>-67</v>
      </c>
      <c r="L73" s="45">
        <v>-67.2</v>
      </c>
      <c r="M73" s="45">
        <v>-67.2</v>
      </c>
      <c r="N73" s="45">
        <v>-66</v>
      </c>
      <c r="O73" s="45">
        <v>-64.2</v>
      </c>
      <c r="P73" s="45">
        <v>-41.8</v>
      </c>
      <c r="Q73" s="45">
        <v>-41.7</v>
      </c>
      <c r="R73" s="45">
        <v>-31.5</v>
      </c>
      <c r="S73" s="45">
        <v>-31.7</v>
      </c>
      <c r="T73" s="45">
        <v>-28</v>
      </c>
      <c r="U73" s="45">
        <v>-51</v>
      </c>
      <c r="V73" s="45">
        <v>-51</v>
      </c>
      <c r="W73" s="45">
        <v>-51.7</v>
      </c>
      <c r="X73" s="45">
        <v>-55.3</v>
      </c>
      <c r="Y73" s="45">
        <v>-11.8</v>
      </c>
      <c r="Z73" s="45">
        <v>-5.9</v>
      </c>
      <c r="AA73" s="45">
        <v>-4</v>
      </c>
      <c r="AB73" s="45">
        <v>-3.1</v>
      </c>
      <c r="AC73" s="45">
        <v>-35</v>
      </c>
      <c r="AD73" s="45">
        <v>-35</v>
      </c>
      <c r="AE73" s="45">
        <v>-39</v>
      </c>
      <c r="AF73" s="45">
        <v>-50</v>
      </c>
      <c r="AG73" s="51"/>
      <c r="AH73" s="47">
        <f t="shared" si="2"/>
        <v>-3.1</v>
      </c>
      <c r="AI73" s="48">
        <f t="shared" si="3"/>
        <v>-73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-588</v>
      </c>
      <c r="C75" s="64">
        <v>-592.1</v>
      </c>
      <c r="D75" s="64">
        <v>-616.5</v>
      </c>
      <c r="E75" s="64">
        <v>-654</v>
      </c>
      <c r="F75" s="64">
        <v>-640.6</v>
      </c>
      <c r="G75" s="64">
        <v>-635.29999999999995</v>
      </c>
      <c r="H75" s="64">
        <v>-655</v>
      </c>
      <c r="I75" s="64">
        <v>-644.70000000000005</v>
      </c>
      <c r="J75" s="64">
        <v>-643</v>
      </c>
      <c r="K75" s="64">
        <v>-604</v>
      </c>
      <c r="L75" s="64">
        <v>-601.20000000000005</v>
      </c>
      <c r="M75" s="64">
        <v>-585.4</v>
      </c>
      <c r="N75" s="64">
        <v>-629.79999999999995</v>
      </c>
      <c r="O75" s="64">
        <v>-597.29999999999995</v>
      </c>
      <c r="P75" s="64">
        <v>-620</v>
      </c>
      <c r="Q75" s="64">
        <v>-610.70000000000005</v>
      </c>
      <c r="R75" s="64">
        <v>-606.5</v>
      </c>
      <c r="S75" s="64">
        <v>-666.7</v>
      </c>
      <c r="T75" s="64">
        <v>-601.9</v>
      </c>
      <c r="U75" s="64">
        <v>-628</v>
      </c>
      <c r="V75" s="64">
        <v>-622</v>
      </c>
      <c r="W75" s="64">
        <v>-620</v>
      </c>
      <c r="X75" s="64">
        <v>-500</v>
      </c>
      <c r="Y75" s="64">
        <v>-520</v>
      </c>
      <c r="Z75" s="64">
        <v>-548</v>
      </c>
      <c r="AA75" s="64">
        <v>-553</v>
      </c>
      <c r="AB75" s="64">
        <v>-559</v>
      </c>
      <c r="AC75" s="64">
        <v>-600</v>
      </c>
      <c r="AD75" s="64">
        <v>-580</v>
      </c>
      <c r="AE75" s="64">
        <v>-580</v>
      </c>
      <c r="AF75" s="64">
        <v>-606</v>
      </c>
      <c r="AG75" s="74"/>
      <c r="AH75" s="47">
        <f t="shared" si="2"/>
        <v>-500</v>
      </c>
      <c r="AI75" s="48">
        <f t="shared" si="3"/>
        <v>-666.7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>
        <v>0</v>
      </c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 t="s">
        <v>272</v>
      </c>
      <c r="X76" s="75" t="s">
        <v>272</v>
      </c>
      <c r="Y76" s="75" t="s">
        <v>272</v>
      </c>
      <c r="Z76" s="75" t="s">
        <v>272</v>
      </c>
      <c r="AA76" s="75" t="s">
        <v>272</v>
      </c>
      <c r="AB76" s="75" t="s">
        <v>272</v>
      </c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>
        <v>0</v>
      </c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2">MAX(B77:AF77)</f>
        <v>0</v>
      </c>
      <c r="AI77" s="48">
        <f t="shared" ref="AI77:AI120" si="13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>
        <v>0</v>
      </c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2"/>
        <v>0</v>
      </c>
      <c r="AI78" s="48">
        <f t="shared" si="13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>
        <v>0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2"/>
        <v>0</v>
      </c>
      <c r="AI79" s="48">
        <f t="shared" si="13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>
        <v>0</v>
      </c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2"/>
        <v>0</v>
      </c>
      <c r="AI80" s="48">
        <f t="shared" si="13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>
        <v>0</v>
      </c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2"/>
        <v>0</v>
      </c>
      <c r="AI81" s="48">
        <f t="shared" si="13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>
        <v>0</v>
      </c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2"/>
        <v>0</v>
      </c>
      <c r="AI82" s="48">
        <f t="shared" si="13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>
        <v>0</v>
      </c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2"/>
        <v>0</v>
      </c>
      <c r="AI83" s="48">
        <f t="shared" si="13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4">SUMIF(B73:B83,"&gt;0")</f>
        <v>0</v>
      </c>
      <c r="C84" s="60">
        <f t="shared" si="14"/>
        <v>0</v>
      </c>
      <c r="D84" s="60">
        <f t="shared" si="14"/>
        <v>0</v>
      </c>
      <c r="E84" s="60">
        <f t="shared" si="14"/>
        <v>0</v>
      </c>
      <c r="F84" s="60">
        <f t="shared" si="14"/>
        <v>0</v>
      </c>
      <c r="G84" s="60">
        <f t="shared" si="14"/>
        <v>0</v>
      </c>
      <c r="H84" s="60">
        <f t="shared" si="14"/>
        <v>0</v>
      </c>
      <c r="I84" s="60">
        <f t="shared" si="14"/>
        <v>0</v>
      </c>
      <c r="J84" s="60">
        <f t="shared" si="14"/>
        <v>0</v>
      </c>
      <c r="K84" s="60">
        <f t="shared" si="14"/>
        <v>0</v>
      </c>
      <c r="L84" s="60">
        <f t="shared" si="14"/>
        <v>0</v>
      </c>
      <c r="M84" s="60">
        <f t="shared" si="14"/>
        <v>0</v>
      </c>
      <c r="N84" s="60">
        <f t="shared" si="14"/>
        <v>0</v>
      </c>
      <c r="O84" s="60">
        <f t="shared" si="14"/>
        <v>0</v>
      </c>
      <c r="P84" s="60">
        <f t="shared" si="14"/>
        <v>0</v>
      </c>
      <c r="Q84" s="60">
        <f t="shared" si="14"/>
        <v>0</v>
      </c>
      <c r="R84" s="60">
        <f t="shared" si="14"/>
        <v>0</v>
      </c>
      <c r="S84" s="60">
        <f t="shared" ref="S84:AA84" si="15">SUMIF(S73:S83,"&gt;0")</f>
        <v>0</v>
      </c>
      <c r="T84" s="60">
        <f t="shared" si="15"/>
        <v>0</v>
      </c>
      <c r="U84" s="60">
        <f t="shared" si="15"/>
        <v>0</v>
      </c>
      <c r="V84" s="60">
        <f t="shared" si="15"/>
        <v>0</v>
      </c>
      <c r="W84" s="60">
        <f t="shared" si="15"/>
        <v>0</v>
      </c>
      <c r="X84" s="60">
        <f t="shared" si="15"/>
        <v>0</v>
      </c>
      <c r="Y84" s="60">
        <f t="shared" si="15"/>
        <v>0</v>
      </c>
      <c r="Z84" s="60">
        <f t="shared" si="15"/>
        <v>0</v>
      </c>
      <c r="AA84" s="60">
        <f t="shared" si="15"/>
        <v>0</v>
      </c>
      <c r="AB84" s="60">
        <f t="shared" si="14"/>
        <v>0</v>
      </c>
      <c r="AC84" s="60">
        <f t="shared" si="14"/>
        <v>0</v>
      </c>
      <c r="AD84" s="60">
        <f t="shared" si="14"/>
        <v>0</v>
      </c>
      <c r="AE84" s="60">
        <f t="shared" si="14"/>
        <v>0</v>
      </c>
      <c r="AF84" s="60">
        <f t="shared" si="14"/>
        <v>0</v>
      </c>
      <c r="AG84" s="87">
        <f>SUM(AG73:AG83)</f>
        <v>0</v>
      </c>
      <c r="AH84" s="47">
        <f t="shared" si="12"/>
        <v>0</v>
      </c>
      <c r="AI84" s="48">
        <f t="shared" si="13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2"/>
        <v>0</v>
      </c>
      <c r="AI85" s="48">
        <f t="shared" si="13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2"/>
        <v>0</v>
      </c>
      <c r="AI86" s="48">
        <f t="shared" si="13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2"/>
        <v>0</v>
      </c>
      <c r="AI87" s="48">
        <f t="shared" si="13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2"/>
        <v>0</v>
      </c>
      <c r="AI88" s="48">
        <f t="shared" si="13"/>
        <v>0</v>
      </c>
    </row>
    <row r="89" spans="1:40" ht="15.75" thickBot="1" x14ac:dyDescent="0.3">
      <c r="A89" s="73" t="s">
        <v>100</v>
      </c>
      <c r="B89" s="94">
        <f t="shared" ref="B89:AG89" si="16">B50+B54+B72+B68+B84+B88</f>
        <v>1947.54</v>
      </c>
      <c r="C89" s="94">
        <f t="shared" si="16"/>
        <v>1947.54</v>
      </c>
      <c r="D89" s="94">
        <f t="shared" si="16"/>
        <v>1951.04</v>
      </c>
      <c r="E89" s="94">
        <f t="shared" si="16"/>
        <v>1952.54</v>
      </c>
      <c r="F89" s="94">
        <f t="shared" si="16"/>
        <v>1941.54</v>
      </c>
      <c r="G89" s="94">
        <f t="shared" si="16"/>
        <v>1978.14</v>
      </c>
      <c r="H89" s="94">
        <f t="shared" si="16"/>
        <v>2011.24</v>
      </c>
      <c r="I89" s="94">
        <f t="shared" si="16"/>
        <v>2011.24</v>
      </c>
      <c r="J89" s="94">
        <f t="shared" si="16"/>
        <v>2047.3399999999997</v>
      </c>
      <c r="K89" s="94">
        <f t="shared" si="16"/>
        <v>2121.64</v>
      </c>
      <c r="L89" s="94">
        <f t="shared" si="16"/>
        <v>2180.2399999999998</v>
      </c>
      <c r="M89" s="94">
        <f t="shared" si="16"/>
        <v>2119.9399999999996</v>
      </c>
      <c r="N89" s="94">
        <f t="shared" si="16"/>
        <v>2136.9399999999996</v>
      </c>
      <c r="O89" s="94">
        <f t="shared" si="16"/>
        <v>2097.2399999999998</v>
      </c>
      <c r="P89" s="94">
        <f t="shared" si="16"/>
        <v>2106.54</v>
      </c>
      <c r="Q89" s="94">
        <f t="shared" si="16"/>
        <v>2085.44</v>
      </c>
      <c r="R89" s="94">
        <f t="shared" si="16"/>
        <v>2063.14</v>
      </c>
      <c r="S89" s="94">
        <f t="shared" ref="S89:AA89" si="17">S50+S54+S72+S68+S84+S88</f>
        <v>2095.1400000000003</v>
      </c>
      <c r="T89" s="94">
        <f t="shared" si="17"/>
        <v>2093.34</v>
      </c>
      <c r="U89" s="94">
        <f t="shared" si="17"/>
        <v>2065.3399999999997</v>
      </c>
      <c r="V89" s="94">
        <f t="shared" si="17"/>
        <v>1694.24</v>
      </c>
      <c r="W89" s="94">
        <f t="shared" si="17"/>
        <v>1684.44</v>
      </c>
      <c r="X89" s="94">
        <f t="shared" si="17"/>
        <v>1720.04</v>
      </c>
      <c r="Y89" s="94">
        <f t="shared" si="17"/>
        <v>2178.94</v>
      </c>
      <c r="Z89" s="94">
        <f t="shared" si="17"/>
        <v>2189.04</v>
      </c>
      <c r="AA89" s="94">
        <f t="shared" si="17"/>
        <v>2168.34</v>
      </c>
      <c r="AB89" s="94">
        <f t="shared" si="16"/>
        <v>2136.44</v>
      </c>
      <c r="AC89" s="94">
        <f t="shared" si="16"/>
        <v>2123.1400000000003</v>
      </c>
      <c r="AD89" s="94">
        <f t="shared" si="16"/>
        <v>2113.1400000000003</v>
      </c>
      <c r="AE89" s="94">
        <f t="shared" si="16"/>
        <v>2051.04</v>
      </c>
      <c r="AF89" s="94">
        <f t="shared" si="16"/>
        <v>2036.04</v>
      </c>
      <c r="AG89" s="61">
        <f t="shared" si="16"/>
        <v>2111.5500000000002</v>
      </c>
      <c r="AH89" s="47">
        <f t="shared" si="12"/>
        <v>2189.04</v>
      </c>
      <c r="AI89" s="48">
        <f t="shared" si="13"/>
        <v>1684.44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2"/>
        <v>0</v>
      </c>
      <c r="AI90" s="48">
        <f t="shared" si="13"/>
        <v>0</v>
      </c>
    </row>
    <row r="91" spans="1:40" ht="15.75" thickBot="1" x14ac:dyDescent="0.3">
      <c r="A91" s="73" t="s">
        <v>102</v>
      </c>
      <c r="B91" s="94">
        <f t="shared" ref="B91:AF91" si="18">B89+B90</f>
        <v>1947.54</v>
      </c>
      <c r="C91" s="94">
        <f t="shared" si="18"/>
        <v>1947.54</v>
      </c>
      <c r="D91" s="94">
        <f t="shared" si="18"/>
        <v>1951.04</v>
      </c>
      <c r="E91" s="94">
        <f t="shared" si="18"/>
        <v>1952.54</v>
      </c>
      <c r="F91" s="94">
        <f t="shared" si="18"/>
        <v>1941.54</v>
      </c>
      <c r="G91" s="94">
        <f t="shared" si="18"/>
        <v>1978.14</v>
      </c>
      <c r="H91" s="94">
        <f t="shared" si="18"/>
        <v>2011.24</v>
      </c>
      <c r="I91" s="94">
        <f t="shared" si="18"/>
        <v>2011.24</v>
      </c>
      <c r="J91" s="94">
        <f t="shared" si="18"/>
        <v>2047.3399999999997</v>
      </c>
      <c r="K91" s="94">
        <f t="shared" si="18"/>
        <v>2121.64</v>
      </c>
      <c r="L91" s="94">
        <f t="shared" si="18"/>
        <v>2180.2399999999998</v>
      </c>
      <c r="M91" s="94">
        <f t="shared" si="18"/>
        <v>2119.9399999999996</v>
      </c>
      <c r="N91" s="94">
        <f t="shared" si="18"/>
        <v>2136.9399999999996</v>
      </c>
      <c r="O91" s="94">
        <f t="shared" si="18"/>
        <v>2097.2399999999998</v>
      </c>
      <c r="P91" s="94">
        <f t="shared" si="18"/>
        <v>2106.54</v>
      </c>
      <c r="Q91" s="94">
        <f t="shared" si="18"/>
        <v>2085.44</v>
      </c>
      <c r="R91" s="94">
        <f t="shared" si="18"/>
        <v>2063.14</v>
      </c>
      <c r="S91" s="94">
        <f t="shared" ref="S91:AA91" si="19">S89+S90</f>
        <v>2095.1400000000003</v>
      </c>
      <c r="T91" s="94">
        <f t="shared" si="19"/>
        <v>2093.34</v>
      </c>
      <c r="U91" s="94">
        <f t="shared" si="19"/>
        <v>2065.3399999999997</v>
      </c>
      <c r="V91" s="94">
        <f t="shared" si="19"/>
        <v>1694.24</v>
      </c>
      <c r="W91" s="94">
        <f t="shared" si="19"/>
        <v>1684.44</v>
      </c>
      <c r="X91" s="94">
        <f t="shared" si="19"/>
        <v>1720.04</v>
      </c>
      <c r="Y91" s="94">
        <f t="shared" si="19"/>
        <v>2178.94</v>
      </c>
      <c r="Z91" s="94">
        <f t="shared" si="19"/>
        <v>2189.04</v>
      </c>
      <c r="AA91" s="94">
        <f t="shared" si="19"/>
        <v>2168.34</v>
      </c>
      <c r="AB91" s="94">
        <f t="shared" si="18"/>
        <v>2136.44</v>
      </c>
      <c r="AC91" s="94">
        <f t="shared" si="18"/>
        <v>2123.1400000000003</v>
      </c>
      <c r="AD91" s="94">
        <f t="shared" si="18"/>
        <v>2113.1400000000003</v>
      </c>
      <c r="AE91" s="94">
        <f t="shared" si="18"/>
        <v>2051.04</v>
      </c>
      <c r="AF91" s="94">
        <f t="shared" si="18"/>
        <v>2036.04</v>
      </c>
      <c r="AG91" s="87">
        <f>AG88+AG84+AG72+AG68+AG50+AG90</f>
        <v>1573.45</v>
      </c>
      <c r="AH91" s="47">
        <f t="shared" si="12"/>
        <v>2189.04</v>
      </c>
      <c r="AI91" s="48">
        <f t="shared" si="13"/>
        <v>1684.44</v>
      </c>
    </row>
    <row r="92" spans="1:40" ht="15.75" thickBot="1" x14ac:dyDescent="0.3">
      <c r="A92" s="73" t="s">
        <v>103</v>
      </c>
      <c r="B92" s="94">
        <f>B91-(-B99)</f>
        <v>1359.54</v>
      </c>
      <c r="C92" s="94">
        <f t="shared" ref="C92:AF92" si="20">C91-(-C99)</f>
        <v>1355.44</v>
      </c>
      <c r="D92" s="94">
        <f t="shared" si="20"/>
        <v>1334.54</v>
      </c>
      <c r="E92" s="94">
        <f t="shared" si="20"/>
        <v>1298.54</v>
      </c>
      <c r="F92" s="94">
        <f t="shared" si="20"/>
        <v>1300.94</v>
      </c>
      <c r="G92" s="94">
        <f t="shared" si="20"/>
        <v>1342.8400000000001</v>
      </c>
      <c r="H92" s="94">
        <f t="shared" si="20"/>
        <v>1356.24</v>
      </c>
      <c r="I92" s="94">
        <f t="shared" si="20"/>
        <v>1366.54</v>
      </c>
      <c r="J92" s="94">
        <f t="shared" si="20"/>
        <v>1404.3399999999997</v>
      </c>
      <c r="K92" s="94">
        <f t="shared" si="20"/>
        <v>1517.6399999999999</v>
      </c>
      <c r="L92" s="94">
        <f t="shared" si="20"/>
        <v>1579.0399999999997</v>
      </c>
      <c r="M92" s="94">
        <f t="shared" si="20"/>
        <v>1534.5399999999995</v>
      </c>
      <c r="N92" s="94">
        <f t="shared" si="20"/>
        <v>1507.1399999999996</v>
      </c>
      <c r="O92" s="94">
        <f t="shared" si="20"/>
        <v>1499.9399999999998</v>
      </c>
      <c r="P92" s="94">
        <f t="shared" si="20"/>
        <v>1486.54</v>
      </c>
      <c r="Q92" s="94">
        <f t="shared" si="20"/>
        <v>1474.74</v>
      </c>
      <c r="R92" s="94">
        <f t="shared" si="20"/>
        <v>1456.6399999999999</v>
      </c>
      <c r="S92" s="94">
        <f t="shared" ref="S92:AA92" si="21">S91-(-S99)</f>
        <v>1428.4400000000003</v>
      </c>
      <c r="T92" s="94">
        <f t="shared" si="21"/>
        <v>1491.44</v>
      </c>
      <c r="U92" s="94">
        <f t="shared" si="21"/>
        <v>1437.3399999999997</v>
      </c>
      <c r="V92" s="94">
        <f t="shared" si="21"/>
        <v>1072.24</v>
      </c>
      <c r="W92" s="94">
        <f t="shared" si="21"/>
        <v>1064.44</v>
      </c>
      <c r="X92" s="94">
        <f t="shared" si="21"/>
        <v>1220.04</v>
      </c>
      <c r="Y92" s="94">
        <f t="shared" si="21"/>
        <v>1658.94</v>
      </c>
      <c r="Z92" s="94">
        <f t="shared" si="21"/>
        <v>1641.04</v>
      </c>
      <c r="AA92" s="94">
        <f t="shared" si="21"/>
        <v>1615.3400000000001</v>
      </c>
      <c r="AB92" s="94">
        <f t="shared" si="20"/>
        <v>1577.44</v>
      </c>
      <c r="AC92" s="94">
        <f t="shared" si="20"/>
        <v>1523.1400000000003</v>
      </c>
      <c r="AD92" s="94">
        <f t="shared" si="20"/>
        <v>1533.1400000000003</v>
      </c>
      <c r="AE92" s="94">
        <f t="shared" si="20"/>
        <v>1471.04</v>
      </c>
      <c r="AF92" s="94">
        <f t="shared" si="20"/>
        <v>1430.04</v>
      </c>
      <c r="AG92" s="87"/>
      <c r="AH92" s="47">
        <f t="shared" si="12"/>
        <v>1658.94</v>
      </c>
      <c r="AI92" s="48">
        <f t="shared" si="13"/>
        <v>1064.44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2"/>
        <v>0</v>
      </c>
      <c r="AI93" s="48">
        <f t="shared" si="13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2"/>
        <v>0</v>
      </c>
      <c r="AI94" s="48">
        <f t="shared" si="13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2"/>
        <v>0</v>
      </c>
      <c r="AI95" s="48">
        <f t="shared" si="13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2"/>
        <v>0</v>
      </c>
      <c r="AI96" s="48">
        <f t="shared" si="13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2"/>
        <v>0</v>
      </c>
      <c r="AI97" s="48">
        <f t="shared" si="13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2"/>
        <v>0</v>
      </c>
      <c r="AI98" s="48">
        <f t="shared" si="13"/>
        <v>0</v>
      </c>
    </row>
    <row r="99" spans="1:37" ht="15.75" thickBot="1" x14ac:dyDescent="0.3">
      <c r="A99" s="98" t="s">
        <v>107</v>
      </c>
      <c r="B99" s="60">
        <f>B75</f>
        <v>-588</v>
      </c>
      <c r="C99" s="60">
        <f t="shared" ref="C99:AF99" si="22">C75</f>
        <v>-592.1</v>
      </c>
      <c r="D99" s="60">
        <f t="shared" si="22"/>
        <v>-616.5</v>
      </c>
      <c r="E99" s="60">
        <f t="shared" si="22"/>
        <v>-654</v>
      </c>
      <c r="F99" s="60">
        <f t="shared" si="22"/>
        <v>-640.6</v>
      </c>
      <c r="G99" s="60">
        <f t="shared" si="22"/>
        <v>-635.29999999999995</v>
      </c>
      <c r="H99" s="60">
        <f t="shared" si="22"/>
        <v>-655</v>
      </c>
      <c r="I99" s="60">
        <f t="shared" si="22"/>
        <v>-644.70000000000005</v>
      </c>
      <c r="J99" s="60">
        <f t="shared" si="22"/>
        <v>-643</v>
      </c>
      <c r="K99" s="60">
        <f t="shared" si="22"/>
        <v>-604</v>
      </c>
      <c r="L99" s="60">
        <f t="shared" si="22"/>
        <v>-601.20000000000005</v>
      </c>
      <c r="M99" s="60">
        <f t="shared" si="22"/>
        <v>-585.4</v>
      </c>
      <c r="N99" s="60">
        <f t="shared" si="22"/>
        <v>-629.79999999999995</v>
      </c>
      <c r="O99" s="60">
        <f t="shared" si="22"/>
        <v>-597.29999999999995</v>
      </c>
      <c r="P99" s="60">
        <f t="shared" si="22"/>
        <v>-620</v>
      </c>
      <c r="Q99" s="60">
        <f t="shared" si="22"/>
        <v>-610.70000000000005</v>
      </c>
      <c r="R99" s="60">
        <f t="shared" si="22"/>
        <v>-606.5</v>
      </c>
      <c r="S99" s="60">
        <f t="shared" ref="S99:AA99" si="23">S75</f>
        <v>-666.7</v>
      </c>
      <c r="T99" s="60">
        <f t="shared" si="23"/>
        <v>-601.9</v>
      </c>
      <c r="U99" s="60">
        <f t="shared" si="23"/>
        <v>-628</v>
      </c>
      <c r="V99" s="60">
        <f t="shared" si="23"/>
        <v>-622</v>
      </c>
      <c r="W99" s="60">
        <f t="shared" si="23"/>
        <v>-620</v>
      </c>
      <c r="X99" s="60">
        <f t="shared" si="23"/>
        <v>-500</v>
      </c>
      <c r="Y99" s="60">
        <f t="shared" si="23"/>
        <v>-520</v>
      </c>
      <c r="Z99" s="60">
        <f t="shared" si="23"/>
        <v>-548</v>
      </c>
      <c r="AA99" s="60">
        <f t="shared" si="23"/>
        <v>-553</v>
      </c>
      <c r="AB99" s="60">
        <f t="shared" si="22"/>
        <v>-559</v>
      </c>
      <c r="AC99" s="60">
        <f t="shared" si="22"/>
        <v>-600</v>
      </c>
      <c r="AD99" s="60">
        <f t="shared" si="22"/>
        <v>-580</v>
      </c>
      <c r="AE99" s="60">
        <f t="shared" si="22"/>
        <v>-580</v>
      </c>
      <c r="AF99" s="60">
        <f t="shared" si="22"/>
        <v>-606</v>
      </c>
      <c r="AG99" s="87"/>
      <c r="AH99" s="47">
        <f t="shared" si="12"/>
        <v>-500</v>
      </c>
      <c r="AI99" s="48">
        <f t="shared" si="13"/>
        <v>-666.7</v>
      </c>
      <c r="AK99" s="50"/>
    </row>
    <row r="100" spans="1:37" ht="15.75" thickBot="1" x14ac:dyDescent="0.3">
      <c r="A100" s="73" t="s">
        <v>108</v>
      </c>
      <c r="B100" s="60">
        <f t="shared" ref="B100:AF100" si="24">B84-B99</f>
        <v>588</v>
      </c>
      <c r="C100" s="60">
        <f t="shared" si="24"/>
        <v>592.1</v>
      </c>
      <c r="D100" s="60">
        <f t="shared" si="24"/>
        <v>616.5</v>
      </c>
      <c r="E100" s="60">
        <f t="shared" si="24"/>
        <v>654</v>
      </c>
      <c r="F100" s="60">
        <f t="shared" si="24"/>
        <v>640.6</v>
      </c>
      <c r="G100" s="60">
        <f t="shared" si="24"/>
        <v>635.29999999999995</v>
      </c>
      <c r="H100" s="60">
        <f t="shared" si="24"/>
        <v>655</v>
      </c>
      <c r="I100" s="60">
        <f t="shared" si="24"/>
        <v>644.70000000000005</v>
      </c>
      <c r="J100" s="60">
        <f t="shared" si="24"/>
        <v>643</v>
      </c>
      <c r="K100" s="60">
        <f t="shared" si="24"/>
        <v>604</v>
      </c>
      <c r="L100" s="60">
        <f t="shared" si="24"/>
        <v>601.20000000000005</v>
      </c>
      <c r="M100" s="60">
        <f t="shared" si="24"/>
        <v>585.4</v>
      </c>
      <c r="N100" s="60">
        <f t="shared" si="24"/>
        <v>629.79999999999995</v>
      </c>
      <c r="O100" s="60">
        <f t="shared" si="24"/>
        <v>597.29999999999995</v>
      </c>
      <c r="P100" s="60">
        <f t="shared" si="24"/>
        <v>620</v>
      </c>
      <c r="Q100" s="60">
        <f t="shared" si="24"/>
        <v>610.70000000000005</v>
      </c>
      <c r="R100" s="60">
        <f t="shared" si="24"/>
        <v>606.5</v>
      </c>
      <c r="S100" s="60">
        <f t="shared" ref="S100:AA100" si="25">S84-S99</f>
        <v>666.7</v>
      </c>
      <c r="T100" s="60">
        <f t="shared" si="25"/>
        <v>601.9</v>
      </c>
      <c r="U100" s="60">
        <f t="shared" si="25"/>
        <v>628</v>
      </c>
      <c r="V100" s="60">
        <f t="shared" si="25"/>
        <v>622</v>
      </c>
      <c r="W100" s="60">
        <f t="shared" si="25"/>
        <v>620</v>
      </c>
      <c r="X100" s="60">
        <f t="shared" si="25"/>
        <v>500</v>
      </c>
      <c r="Y100" s="60">
        <f t="shared" si="25"/>
        <v>520</v>
      </c>
      <c r="Z100" s="60">
        <f t="shared" si="25"/>
        <v>548</v>
      </c>
      <c r="AA100" s="60">
        <f t="shared" si="25"/>
        <v>553</v>
      </c>
      <c r="AB100" s="60">
        <f t="shared" si="24"/>
        <v>559</v>
      </c>
      <c r="AC100" s="60">
        <f t="shared" si="24"/>
        <v>600</v>
      </c>
      <c r="AD100" s="60">
        <f t="shared" si="24"/>
        <v>580</v>
      </c>
      <c r="AE100" s="60">
        <f t="shared" si="24"/>
        <v>580</v>
      </c>
      <c r="AF100" s="60">
        <f t="shared" si="24"/>
        <v>606</v>
      </c>
      <c r="AG100" s="87"/>
      <c r="AH100" s="47">
        <f t="shared" si="12"/>
        <v>666.7</v>
      </c>
      <c r="AI100" s="48">
        <f t="shared" si="13"/>
        <v>500</v>
      </c>
    </row>
    <row r="101" spans="1:37" x14ac:dyDescent="0.25">
      <c r="A101" s="99" t="s">
        <v>109</v>
      </c>
      <c r="B101" s="100">
        <v>50.036999999999999</v>
      </c>
      <c r="C101" s="100">
        <v>49.997999999999998</v>
      </c>
      <c r="D101" s="100">
        <v>49.997999999999998</v>
      </c>
      <c r="E101" s="100">
        <v>49.948</v>
      </c>
      <c r="F101" s="100">
        <v>50.051000000000002</v>
      </c>
      <c r="G101" s="100">
        <v>49.893999999999998</v>
      </c>
      <c r="H101" s="100">
        <v>49.838999999999999</v>
      </c>
      <c r="I101" s="100">
        <v>50</v>
      </c>
      <c r="J101" s="100">
        <v>49.84</v>
      </c>
      <c r="K101" s="100">
        <v>49.901000000000003</v>
      </c>
      <c r="L101" s="100">
        <v>50.064</v>
      </c>
      <c r="M101" s="100">
        <v>50.070999999999998</v>
      </c>
      <c r="N101" s="100">
        <v>50.067</v>
      </c>
      <c r="O101" s="100">
        <v>49.963000000000001</v>
      </c>
      <c r="P101" s="100">
        <v>50.057000000000002</v>
      </c>
      <c r="Q101" s="100">
        <v>49.98</v>
      </c>
      <c r="R101" s="100">
        <v>49.99</v>
      </c>
      <c r="S101" s="100">
        <v>49.917999999999999</v>
      </c>
      <c r="T101" s="100">
        <v>50.05</v>
      </c>
      <c r="U101" s="100">
        <v>49.98</v>
      </c>
      <c r="V101" s="100">
        <v>49.91</v>
      </c>
      <c r="W101" s="100">
        <v>50.05</v>
      </c>
      <c r="X101" s="100">
        <v>49.94</v>
      </c>
      <c r="Y101" s="100">
        <v>49.89</v>
      </c>
      <c r="Z101" s="100">
        <v>50.029000000000003</v>
      </c>
      <c r="AA101" s="100">
        <v>50.064</v>
      </c>
      <c r="AB101" s="100">
        <v>50.06</v>
      </c>
      <c r="AC101" s="100">
        <v>49.997</v>
      </c>
      <c r="AD101" s="100">
        <v>49.997</v>
      </c>
      <c r="AE101" s="100">
        <v>50.110999999999997</v>
      </c>
      <c r="AF101" s="100">
        <v>50.008000000000003</v>
      </c>
      <c r="AG101" s="101"/>
      <c r="AH101" s="47">
        <f t="shared" si="12"/>
        <v>50.110999999999997</v>
      </c>
      <c r="AI101" s="48">
        <f t="shared" si="13"/>
        <v>49.838999999999999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2"/>
        <v>0</v>
      </c>
      <c r="AI102" s="48">
        <f t="shared" si="13"/>
        <v>0</v>
      </c>
    </row>
    <row r="103" spans="1:37" x14ac:dyDescent="0.25">
      <c r="A103" s="102" t="s">
        <v>111</v>
      </c>
      <c r="B103" s="64">
        <v>129.80000000000001</v>
      </c>
      <c r="C103" s="64">
        <v>129.69999999999999</v>
      </c>
      <c r="D103" s="64">
        <v>130</v>
      </c>
      <c r="E103" s="64">
        <v>128.80000000000001</v>
      </c>
      <c r="F103" s="64">
        <v>128.80000000000001</v>
      </c>
      <c r="G103" s="64">
        <v>128.80000000000001</v>
      </c>
      <c r="H103" s="64">
        <v>127</v>
      </c>
      <c r="I103" s="64">
        <v>127</v>
      </c>
      <c r="J103" s="64">
        <v>127</v>
      </c>
      <c r="K103" s="64">
        <v>127</v>
      </c>
      <c r="L103" s="64">
        <v>127</v>
      </c>
      <c r="M103" s="64">
        <v>125.4</v>
      </c>
      <c r="N103" s="64">
        <v>125.8</v>
      </c>
      <c r="O103" s="64">
        <v>126</v>
      </c>
      <c r="P103" s="64">
        <v>126.2</v>
      </c>
      <c r="Q103" s="64">
        <v>126.4</v>
      </c>
      <c r="R103" s="64">
        <v>127.3</v>
      </c>
      <c r="S103" s="64">
        <v>128</v>
      </c>
      <c r="T103" s="64">
        <v>125.9</v>
      </c>
      <c r="U103" s="64">
        <v>127.6</v>
      </c>
      <c r="V103" s="64">
        <v>128.80000000000001</v>
      </c>
      <c r="W103" s="64">
        <v>128.69999999999999</v>
      </c>
      <c r="X103" s="64">
        <v>128</v>
      </c>
      <c r="Y103" s="64">
        <v>131</v>
      </c>
      <c r="Z103" s="64">
        <v>128.4</v>
      </c>
      <c r="AA103" s="64">
        <v>128.30000000000001</v>
      </c>
      <c r="AB103" s="64">
        <v>127.6</v>
      </c>
      <c r="AC103" s="64">
        <v>129</v>
      </c>
      <c r="AD103" s="64">
        <v>129</v>
      </c>
      <c r="AE103" s="64">
        <v>129.1</v>
      </c>
      <c r="AF103" s="64">
        <v>130.4</v>
      </c>
      <c r="AG103" s="103"/>
      <c r="AH103" s="47">
        <f t="shared" si="12"/>
        <v>131</v>
      </c>
      <c r="AI103" s="48">
        <f t="shared" si="13"/>
        <v>125.4</v>
      </c>
    </row>
    <row r="104" spans="1:37" x14ac:dyDescent="0.25">
      <c r="A104" s="102" t="s">
        <v>112</v>
      </c>
      <c r="B104" s="64">
        <v>128</v>
      </c>
      <c r="C104" s="64">
        <v>127.8</v>
      </c>
      <c r="D104" s="64">
        <v>127.4</v>
      </c>
      <c r="E104" s="64">
        <v>127.8</v>
      </c>
      <c r="F104" s="64">
        <v>127.8</v>
      </c>
      <c r="G104" s="64">
        <v>127.8</v>
      </c>
      <c r="H104" s="64">
        <v>126.8</v>
      </c>
      <c r="I104" s="64">
        <v>126.8</v>
      </c>
      <c r="J104" s="64">
        <v>126.8</v>
      </c>
      <c r="K104" s="64">
        <v>126.8</v>
      </c>
      <c r="L104" s="64">
        <v>127.9</v>
      </c>
      <c r="M104" s="64">
        <v>128.78</v>
      </c>
      <c r="N104" s="64">
        <v>128.9</v>
      </c>
      <c r="O104" s="64">
        <v>126.5</v>
      </c>
      <c r="P104" s="64">
        <v>127.1</v>
      </c>
      <c r="Q104" s="64">
        <v>128.5</v>
      </c>
      <c r="R104" s="64">
        <v>128.1</v>
      </c>
      <c r="S104" s="64">
        <v>127.5</v>
      </c>
      <c r="T104" s="64">
        <v>127.2</v>
      </c>
      <c r="U104" s="64"/>
      <c r="V104" s="64"/>
      <c r="W104" s="64"/>
      <c r="X104" s="64">
        <v>129.1</v>
      </c>
      <c r="Y104" s="64">
        <v>128.19999999999999</v>
      </c>
      <c r="Z104" s="64">
        <v>129.5</v>
      </c>
      <c r="AA104" s="64">
        <v>128.9</v>
      </c>
      <c r="AB104" s="64">
        <v>130.1</v>
      </c>
      <c r="AC104" s="64">
        <v>128.80000000000001</v>
      </c>
      <c r="AD104" s="64">
        <v>128.80000000000001</v>
      </c>
      <c r="AE104" s="64">
        <v>130.9</v>
      </c>
      <c r="AF104" s="64">
        <v>131</v>
      </c>
      <c r="AG104" s="103"/>
      <c r="AH104" s="47">
        <f t="shared" si="12"/>
        <v>131</v>
      </c>
      <c r="AI104" s="48">
        <f t="shared" si="13"/>
        <v>126.5</v>
      </c>
    </row>
    <row r="105" spans="1:37" x14ac:dyDescent="0.25">
      <c r="A105" s="104" t="s">
        <v>113</v>
      </c>
      <c r="B105" s="64">
        <v>130</v>
      </c>
      <c r="C105" s="64">
        <v>130</v>
      </c>
      <c r="D105" s="64">
        <v>129.6</v>
      </c>
      <c r="E105" s="64">
        <v>129.9</v>
      </c>
      <c r="F105" s="64">
        <v>129.9</v>
      </c>
      <c r="G105" s="64">
        <v>129.9</v>
      </c>
      <c r="H105" s="64">
        <v>129</v>
      </c>
      <c r="I105" s="64">
        <v>129</v>
      </c>
      <c r="J105" s="64">
        <v>129</v>
      </c>
      <c r="K105" s="64">
        <v>129</v>
      </c>
      <c r="L105" s="64">
        <v>130.9</v>
      </c>
      <c r="M105" s="64">
        <v>129.9</v>
      </c>
      <c r="N105" s="64">
        <v>131.1</v>
      </c>
      <c r="O105" s="64">
        <v>131.19999999999999</v>
      </c>
      <c r="P105" s="64">
        <v>131.30000000000001</v>
      </c>
      <c r="Q105" s="64">
        <v>133.4</v>
      </c>
      <c r="R105" s="64">
        <v>133.19999999999999</v>
      </c>
      <c r="S105" s="64">
        <v>131.19999999999999</v>
      </c>
      <c r="T105" s="64">
        <v>130.30000000000001</v>
      </c>
      <c r="U105" s="64"/>
      <c r="V105" s="64"/>
      <c r="W105" s="64"/>
      <c r="X105" s="64"/>
      <c r="Y105" s="64">
        <v>132</v>
      </c>
      <c r="Z105" s="64">
        <v>130.5</v>
      </c>
      <c r="AA105" s="64">
        <v>131.5</v>
      </c>
      <c r="AB105" s="64">
        <v>132.6</v>
      </c>
      <c r="AC105" s="64">
        <v>131</v>
      </c>
      <c r="AD105" s="64">
        <v>131</v>
      </c>
      <c r="AE105" s="64">
        <v>134</v>
      </c>
      <c r="AF105" s="64">
        <v>134</v>
      </c>
      <c r="AG105" s="103"/>
      <c r="AH105" s="47">
        <f t="shared" si="12"/>
        <v>134</v>
      </c>
      <c r="AI105" s="48">
        <f t="shared" si="13"/>
        <v>129</v>
      </c>
    </row>
    <row r="106" spans="1:37" x14ac:dyDescent="0.25">
      <c r="A106" s="104" t="s">
        <v>114</v>
      </c>
      <c r="B106" s="105">
        <v>130.6</v>
      </c>
      <c r="C106" s="105">
        <v>131.5</v>
      </c>
      <c r="D106" s="105">
        <v>132.6</v>
      </c>
      <c r="E106" s="105">
        <v>131</v>
      </c>
      <c r="F106" s="105">
        <v>131</v>
      </c>
      <c r="G106" s="105">
        <v>131</v>
      </c>
      <c r="H106" s="105">
        <v>130</v>
      </c>
      <c r="I106" s="105">
        <v>130</v>
      </c>
      <c r="J106" s="105">
        <v>130</v>
      </c>
      <c r="K106" s="105">
        <v>130</v>
      </c>
      <c r="L106" s="105">
        <v>133.19999999999999</v>
      </c>
      <c r="M106" s="105">
        <v>129.5</v>
      </c>
      <c r="N106" s="105">
        <v>130</v>
      </c>
      <c r="O106" s="105">
        <v>134.6</v>
      </c>
      <c r="P106" s="105">
        <v>133.19999999999999</v>
      </c>
      <c r="Q106" s="105">
        <v>133.5</v>
      </c>
      <c r="R106" s="105">
        <v>133.5</v>
      </c>
      <c r="S106" s="105">
        <v>132</v>
      </c>
      <c r="T106" s="105">
        <v>133</v>
      </c>
      <c r="U106" s="105">
        <v>133</v>
      </c>
      <c r="V106" s="105">
        <v>131.9</v>
      </c>
      <c r="W106" s="105">
        <v>133.69999999999999</v>
      </c>
      <c r="X106" s="105">
        <v>133.69999999999999</v>
      </c>
      <c r="Y106" s="105">
        <v>130.69999999999999</v>
      </c>
      <c r="Z106" s="105">
        <v>131.5</v>
      </c>
      <c r="AA106" s="105">
        <v>131.69999999999999</v>
      </c>
      <c r="AB106" s="105">
        <v>130.4</v>
      </c>
      <c r="AC106" s="105">
        <v>133</v>
      </c>
      <c r="AD106" s="105">
        <v>133</v>
      </c>
      <c r="AE106" s="105">
        <v>133.19999999999999</v>
      </c>
      <c r="AF106" s="105">
        <v>134</v>
      </c>
      <c r="AG106" s="106"/>
      <c r="AH106" s="47">
        <f t="shared" si="12"/>
        <v>134.6</v>
      </c>
      <c r="AI106" s="48">
        <f t="shared" si="13"/>
        <v>129.5</v>
      </c>
    </row>
    <row r="107" spans="1:37" x14ac:dyDescent="0.25">
      <c r="A107" s="102" t="s">
        <v>115</v>
      </c>
      <c r="B107" s="64">
        <v>131.5</v>
      </c>
      <c r="C107" s="64">
        <v>134.30000000000001</v>
      </c>
      <c r="D107" s="64">
        <v>133.5</v>
      </c>
      <c r="E107" s="64">
        <v>133</v>
      </c>
      <c r="F107" s="64">
        <v>133</v>
      </c>
      <c r="G107" s="64">
        <v>133</v>
      </c>
      <c r="H107" s="64">
        <v>127</v>
      </c>
      <c r="I107" s="64">
        <v>127</v>
      </c>
      <c r="J107" s="64">
        <v>127</v>
      </c>
      <c r="K107" s="64">
        <v>127</v>
      </c>
      <c r="L107" s="64">
        <v>133.30000000000001</v>
      </c>
      <c r="M107" s="64">
        <v>130.6</v>
      </c>
      <c r="N107" s="64">
        <v>130.19999999999999</v>
      </c>
      <c r="O107" s="64">
        <v>136.4</v>
      </c>
      <c r="P107" s="64">
        <v>128.4</v>
      </c>
      <c r="Q107" s="64">
        <v>133.19999999999999</v>
      </c>
      <c r="R107" s="64">
        <v>128.30000000000001</v>
      </c>
      <c r="S107" s="64">
        <v>133.4</v>
      </c>
      <c r="T107" s="64">
        <v>131.6</v>
      </c>
      <c r="U107" s="64">
        <v>134.69999999999999</v>
      </c>
      <c r="V107" s="64">
        <v>132.30000000000001</v>
      </c>
      <c r="W107" s="64">
        <v>133.6</v>
      </c>
      <c r="X107" s="64">
        <v>133.6</v>
      </c>
      <c r="Y107" s="64">
        <v>130.6</v>
      </c>
      <c r="Z107" s="64">
        <v>134.9</v>
      </c>
      <c r="AA107" s="64">
        <v>135.30000000000001</v>
      </c>
      <c r="AB107" s="64">
        <v>130.19999999999999</v>
      </c>
      <c r="AC107" s="64">
        <v>130.6</v>
      </c>
      <c r="AD107" s="64">
        <v>130.6</v>
      </c>
      <c r="AE107" s="64">
        <v>132.30000000000001</v>
      </c>
      <c r="AF107" s="64">
        <v>131</v>
      </c>
      <c r="AG107" s="103"/>
      <c r="AH107" s="47">
        <f t="shared" si="12"/>
        <v>136.4</v>
      </c>
      <c r="AI107" s="48">
        <f t="shared" si="13"/>
        <v>127</v>
      </c>
    </row>
    <row r="108" spans="1:37" ht="15.75" thickBot="1" x14ac:dyDescent="0.3">
      <c r="A108" s="102" t="s">
        <v>116</v>
      </c>
      <c r="B108" s="91">
        <v>65</v>
      </c>
      <c r="C108" s="91">
        <v>65.3</v>
      </c>
      <c r="D108" s="91">
        <v>65.5</v>
      </c>
      <c r="E108" s="91">
        <v>64.8</v>
      </c>
      <c r="F108" s="91">
        <v>64.8</v>
      </c>
      <c r="G108" s="91">
        <v>64.8</v>
      </c>
      <c r="H108" s="91">
        <v>64</v>
      </c>
      <c r="I108" s="91">
        <v>64</v>
      </c>
      <c r="J108" s="91">
        <v>64</v>
      </c>
      <c r="K108" s="91">
        <v>64</v>
      </c>
      <c r="L108" s="91">
        <v>64.2</v>
      </c>
      <c r="M108" s="91">
        <v>64</v>
      </c>
      <c r="N108" s="91">
        <v>63.8</v>
      </c>
      <c r="O108" s="91">
        <v>64.400000000000006</v>
      </c>
      <c r="P108" s="91">
        <v>63.7</v>
      </c>
      <c r="Q108" s="91">
        <v>63.8</v>
      </c>
      <c r="R108" s="91">
        <v>64.400000000000006</v>
      </c>
      <c r="S108" s="91">
        <v>65.3</v>
      </c>
      <c r="T108" s="91">
        <v>65.3</v>
      </c>
      <c r="U108" s="91">
        <v>64.5</v>
      </c>
      <c r="V108" s="91">
        <v>65.099999999999994</v>
      </c>
      <c r="W108" s="91">
        <v>65.099999999999994</v>
      </c>
      <c r="X108" s="91">
        <v>65.099999999999994</v>
      </c>
      <c r="Y108" s="91">
        <v>64.599999999999994</v>
      </c>
      <c r="Z108" s="91">
        <v>65</v>
      </c>
      <c r="AA108" s="91">
        <v>65</v>
      </c>
      <c r="AB108" s="91">
        <v>64.599999999999994</v>
      </c>
      <c r="AC108" s="91">
        <v>65.2</v>
      </c>
      <c r="AD108" s="91">
        <v>65.2</v>
      </c>
      <c r="AE108" s="91">
        <v>65.3</v>
      </c>
      <c r="AF108" s="91">
        <v>65.7</v>
      </c>
      <c r="AG108" s="107"/>
      <c r="AH108" s="47">
        <f t="shared" si="12"/>
        <v>65.7</v>
      </c>
      <c r="AI108" s="48">
        <f t="shared" si="13"/>
        <v>63.7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2"/>
        <v>0</v>
      </c>
      <c r="AI109" s="48">
        <f t="shared" si="13"/>
        <v>0</v>
      </c>
    </row>
    <row r="110" spans="1:37" ht="15.75" thickBot="1" x14ac:dyDescent="0.3">
      <c r="A110" s="109" t="s">
        <v>118</v>
      </c>
      <c r="B110" s="110">
        <f t="shared" ref="B110:O110" si="26">SUM(B20,B26,B29:B30,B58,B60:B61,B63,B65,B111:B115,B138,B144,B150,B159,B161,B173,B180,B183:B184,B191,B193,B195,B199:B201,B203:B205,B210,B216:B217,B219:B221,B229,B234)</f>
        <v>59.1</v>
      </c>
      <c r="C110" s="110">
        <f t="shared" si="26"/>
        <v>58.239999999999974</v>
      </c>
      <c r="D110" s="110">
        <f t="shared" si="26"/>
        <v>55.939999999999984</v>
      </c>
      <c r="E110" s="110">
        <f t="shared" si="26"/>
        <v>48.540000000000006</v>
      </c>
      <c r="F110" s="110">
        <f t="shared" si="26"/>
        <v>49.040000000000006</v>
      </c>
      <c r="G110" s="110">
        <f t="shared" si="26"/>
        <v>58.44</v>
      </c>
      <c r="H110" s="110">
        <f t="shared" si="26"/>
        <v>75.94</v>
      </c>
      <c r="I110" s="110">
        <f t="shared" si="26"/>
        <v>129.63999999999999</v>
      </c>
      <c r="J110" s="110">
        <f t="shared" si="26"/>
        <v>161.83999999999997</v>
      </c>
      <c r="K110" s="110">
        <f t="shared" si="26"/>
        <v>166.83999999999997</v>
      </c>
      <c r="L110" s="110">
        <f t="shared" si="26"/>
        <v>242.03999999999996</v>
      </c>
      <c r="M110" s="110">
        <f t="shared" si="26"/>
        <v>249.54000000000002</v>
      </c>
      <c r="N110" s="110">
        <f t="shared" si="26"/>
        <v>196.74</v>
      </c>
      <c r="O110" s="110">
        <f t="shared" si="26"/>
        <v>191.64000000000001</v>
      </c>
      <c r="P110" s="110">
        <v>42</v>
      </c>
      <c r="Q110" s="110">
        <f t="shared" ref="Q110:AC110" si="27">SUM(Q20,Q26,Q29:Q30,Q58,Q60:Q61,Q63,Q65,Q111:Q115,Q138,Q144,Q150,Q159,Q161,Q173,Q180,Q183:Q184,Q191,Q193,Q195,Q199:Q201,Q203:Q205,Q210,Q216:Q217,Q219:Q221,Q229,Q234)</f>
        <v>184.45999999999998</v>
      </c>
      <c r="R110" s="110">
        <f t="shared" si="27"/>
        <v>188.10000000000005</v>
      </c>
      <c r="S110" s="110">
        <f t="shared" si="27"/>
        <v>139.30000000000001</v>
      </c>
      <c r="T110" s="110">
        <f t="shared" si="27"/>
        <v>137.5</v>
      </c>
      <c r="U110" s="110">
        <f t="shared" si="27"/>
        <v>178.79999999999998</v>
      </c>
      <c r="V110" s="110">
        <f t="shared" si="27"/>
        <v>159</v>
      </c>
      <c r="W110" s="110">
        <f t="shared" si="27"/>
        <v>196.39999999999998</v>
      </c>
      <c r="X110" s="110">
        <f t="shared" si="27"/>
        <v>239.70000000000002</v>
      </c>
      <c r="Y110" s="110">
        <f t="shared" si="27"/>
        <v>267.8</v>
      </c>
      <c r="Z110" s="110">
        <f t="shared" si="27"/>
        <v>241.3</v>
      </c>
      <c r="AA110" s="110">
        <f t="shared" si="27"/>
        <v>228.49999999999997</v>
      </c>
      <c r="AB110" s="110">
        <f t="shared" si="27"/>
        <v>196.00000000000003</v>
      </c>
      <c r="AC110" s="110">
        <f t="shared" si="27"/>
        <v>171.89999999999998</v>
      </c>
      <c r="AD110" s="110"/>
      <c r="AE110" s="110">
        <f>SUM(AE20,AE26,AE29:AE30,AE58,AE60:AE61,AE63,AE65,AE111:AE115,AE138,AE144,AE150,AE159,AE161,AE173,AE180,AE183:AE184,AE191,AE193,AE195,AE199:AE201,AE203:AE205,AE210,AE216:AE217,AE219:AE221,AE229,AE234)</f>
        <v>89.800000000000011</v>
      </c>
      <c r="AF110" s="110">
        <f>SUM(AF20,AF26,AF29:AF30,AF58,AF60:AF61,AF63,AF65,AF111:AF115,AF138,AF144,AF150,AF159,AF161,AF173,AF180,AF183:AF184,AF191,AF193,AF195,AF199:AF201,AF203:AF205,AF210,AF216:AF217,AF219:AF221,AF229,AF234)</f>
        <v>54.800000000000011</v>
      </c>
      <c r="AG110" s="111"/>
      <c r="AH110" s="47">
        <f t="shared" si="12"/>
        <v>267.8</v>
      </c>
      <c r="AI110" s="48">
        <f t="shared" si="13"/>
        <v>42</v>
      </c>
    </row>
    <row r="111" spans="1:37" x14ac:dyDescent="0.25">
      <c r="A111" s="99" t="s">
        <v>119</v>
      </c>
      <c r="B111" s="112">
        <v>25.8</v>
      </c>
      <c r="C111" s="112">
        <v>30.4</v>
      </c>
      <c r="D111" s="112">
        <v>31</v>
      </c>
      <c r="E111" s="112">
        <v>30</v>
      </c>
      <c r="F111" s="112">
        <v>27.8</v>
      </c>
      <c r="G111" s="112">
        <v>31.6</v>
      </c>
      <c r="H111" s="112">
        <v>36.4</v>
      </c>
      <c r="I111" s="112">
        <v>39</v>
      </c>
      <c r="J111" s="112">
        <v>48.5</v>
      </c>
      <c r="K111" s="112">
        <v>48.5</v>
      </c>
      <c r="L111" s="112">
        <v>46.5</v>
      </c>
      <c r="M111" s="112">
        <v>63.4</v>
      </c>
      <c r="N111" s="112">
        <v>57.3</v>
      </c>
      <c r="O111" s="112">
        <v>53.5</v>
      </c>
      <c r="P111" s="112">
        <v>54.4</v>
      </c>
      <c r="Q111" s="112">
        <v>55.5</v>
      </c>
      <c r="R111" s="112">
        <v>52.4</v>
      </c>
      <c r="S111" s="112">
        <v>47.9</v>
      </c>
      <c r="T111" s="112">
        <v>47.9</v>
      </c>
      <c r="U111" s="112">
        <v>48.9</v>
      </c>
      <c r="V111" s="112">
        <v>45.9</v>
      </c>
      <c r="W111" s="112">
        <v>52.8</v>
      </c>
      <c r="X111" s="112">
        <v>57.8</v>
      </c>
      <c r="Y111" s="112">
        <v>58.1</v>
      </c>
      <c r="Z111" s="112">
        <v>58.2</v>
      </c>
      <c r="AA111" s="112">
        <v>58.1</v>
      </c>
      <c r="AB111" s="112">
        <v>56.7</v>
      </c>
      <c r="AC111" s="112">
        <v>55</v>
      </c>
      <c r="AD111" s="112">
        <v>55</v>
      </c>
      <c r="AE111" s="112">
        <v>40</v>
      </c>
      <c r="AF111" s="112">
        <v>40</v>
      </c>
      <c r="AG111" s="113">
        <v>75</v>
      </c>
      <c r="AH111" s="47">
        <f t="shared" si="12"/>
        <v>63.4</v>
      </c>
      <c r="AI111" s="48">
        <f t="shared" si="13"/>
        <v>25.8</v>
      </c>
    </row>
    <row r="112" spans="1:37" x14ac:dyDescent="0.25">
      <c r="A112" s="102" t="s">
        <v>120</v>
      </c>
      <c r="B112" s="114">
        <v>35.299999999999997</v>
      </c>
      <c r="C112" s="114">
        <v>38.6</v>
      </c>
      <c r="D112" s="114">
        <v>43.9</v>
      </c>
      <c r="E112" s="114">
        <v>47.4</v>
      </c>
      <c r="F112" s="114">
        <v>44.5</v>
      </c>
      <c r="G112" s="114">
        <v>47.9</v>
      </c>
      <c r="H112" s="114">
        <v>55</v>
      </c>
      <c r="I112" s="114">
        <v>57</v>
      </c>
      <c r="J112" s="114">
        <v>72.900000000000006</v>
      </c>
      <c r="K112" s="114">
        <v>72.900000000000006</v>
      </c>
      <c r="L112" s="114">
        <v>60.9</v>
      </c>
      <c r="M112" s="114">
        <v>88.4</v>
      </c>
      <c r="N112" s="114">
        <v>79.099999999999994</v>
      </c>
      <c r="O112" s="114">
        <v>72.099999999999994</v>
      </c>
      <c r="P112" s="114">
        <v>73.3</v>
      </c>
      <c r="Q112" s="114">
        <v>73.5</v>
      </c>
      <c r="R112" s="114">
        <v>67.900000000000006</v>
      </c>
      <c r="S112" s="114">
        <v>63.5</v>
      </c>
      <c r="T112" s="114">
        <v>63.5</v>
      </c>
      <c r="U112" s="114">
        <v>63.3</v>
      </c>
      <c r="V112" s="114">
        <v>59</v>
      </c>
      <c r="W112" s="114">
        <v>80.599999999999994</v>
      </c>
      <c r="X112" s="114">
        <v>78.900000000000006</v>
      </c>
      <c r="Y112" s="114">
        <v>79.400000000000006</v>
      </c>
      <c r="Z112" s="114">
        <v>80.7</v>
      </c>
      <c r="AA112" s="114">
        <v>80.900000000000006</v>
      </c>
      <c r="AB112" s="114">
        <v>78.5</v>
      </c>
      <c r="AC112" s="114">
        <v>77</v>
      </c>
      <c r="AD112" s="114">
        <v>77</v>
      </c>
      <c r="AE112" s="114">
        <v>54</v>
      </c>
      <c r="AF112" s="114">
        <v>27</v>
      </c>
      <c r="AG112" s="113">
        <v>240</v>
      </c>
      <c r="AH112" s="47">
        <f t="shared" si="12"/>
        <v>88.4</v>
      </c>
      <c r="AI112" s="48">
        <f t="shared" si="13"/>
        <v>27</v>
      </c>
    </row>
    <row r="113" spans="1:37" x14ac:dyDescent="0.25">
      <c r="A113" s="102" t="s">
        <v>121</v>
      </c>
      <c r="B113" s="114">
        <v>-115</v>
      </c>
      <c r="C113" s="114">
        <v>-124</v>
      </c>
      <c r="D113" s="114">
        <v>-128</v>
      </c>
      <c r="E113" s="114">
        <v>-151.5</v>
      </c>
      <c r="F113" s="114">
        <v>-143</v>
      </c>
      <c r="G113" s="114">
        <v>-140</v>
      </c>
      <c r="H113" s="114">
        <v>-138</v>
      </c>
      <c r="I113" s="114">
        <v>-97</v>
      </c>
      <c r="J113" s="114">
        <v>-113</v>
      </c>
      <c r="K113" s="114">
        <v>-113</v>
      </c>
      <c r="L113" s="114">
        <v>-70.599999999999994</v>
      </c>
      <c r="M113" s="114">
        <f>-30-34</f>
        <v>-64</v>
      </c>
      <c r="N113" s="114">
        <f>-44-50</f>
        <v>-94</v>
      </c>
      <c r="O113" s="114">
        <f>-42-48</f>
        <v>-90</v>
      </c>
      <c r="P113" s="114">
        <f>-44-50</f>
        <v>-94</v>
      </c>
      <c r="Q113" s="114">
        <f>-44-48</f>
        <v>-92</v>
      </c>
      <c r="R113" s="114">
        <f>-37.1-41</f>
        <v>-78.099999999999994</v>
      </c>
      <c r="S113" s="114">
        <v>-123.5</v>
      </c>
      <c r="T113" s="114">
        <v>-123.5</v>
      </c>
      <c r="U113" s="114">
        <v>-78.900000000000006</v>
      </c>
      <c r="V113" s="114">
        <v>-91.5</v>
      </c>
      <c r="W113" s="114">
        <v>-70.3</v>
      </c>
      <c r="X113" s="114">
        <v>-65.900000000000006</v>
      </c>
      <c r="Y113" s="114">
        <v>-58.7</v>
      </c>
      <c r="Z113" s="114">
        <v>-83.9</v>
      </c>
      <c r="AA113" s="114">
        <v>-89.9</v>
      </c>
      <c r="AB113" s="114">
        <f>-54.9-48.1</f>
        <v>-103</v>
      </c>
      <c r="AC113" s="114">
        <v>-112</v>
      </c>
      <c r="AD113" s="114">
        <v>-112</v>
      </c>
      <c r="AE113" s="114">
        <v>-123</v>
      </c>
      <c r="AF113" s="114">
        <v>-128</v>
      </c>
      <c r="AG113" s="113">
        <v>240</v>
      </c>
      <c r="AH113" s="47">
        <f t="shared" si="12"/>
        <v>-58.7</v>
      </c>
      <c r="AI113" s="48">
        <f t="shared" si="13"/>
        <v>-151.5</v>
      </c>
    </row>
    <row r="114" spans="1:37" x14ac:dyDescent="0.25">
      <c r="A114" s="102" t="s">
        <v>122</v>
      </c>
      <c r="B114" s="114">
        <v>-11.4</v>
      </c>
      <c r="C114" s="114">
        <v>-12.1</v>
      </c>
      <c r="D114" s="114">
        <v>-16.3</v>
      </c>
      <c r="E114" s="114">
        <v>-17.3</v>
      </c>
      <c r="F114" s="114">
        <v>-15.7</v>
      </c>
      <c r="G114" s="114">
        <v>-16.5</v>
      </c>
      <c r="H114" s="114">
        <v>-12.9</v>
      </c>
      <c r="I114" s="114">
        <v>-4.8</v>
      </c>
      <c r="J114" s="114">
        <v>3.5</v>
      </c>
      <c r="K114" s="114">
        <v>3.5</v>
      </c>
      <c r="L114" s="114">
        <v>44.8</v>
      </c>
      <c r="M114" s="114">
        <v>12.5</v>
      </c>
      <c r="N114" s="114">
        <v>4.2</v>
      </c>
      <c r="O114" s="114">
        <v>3.1</v>
      </c>
      <c r="P114" s="114">
        <v>2.8</v>
      </c>
      <c r="Q114" s="114">
        <v>0.56000000000000005</v>
      </c>
      <c r="R114" s="114">
        <v>1</v>
      </c>
      <c r="S114" s="114">
        <v>11.4</v>
      </c>
      <c r="T114" s="114">
        <v>11.4</v>
      </c>
      <c r="U114" s="114">
        <v>11.8</v>
      </c>
      <c r="V114" s="114">
        <v>17.899999999999999</v>
      </c>
      <c r="W114" s="114">
        <v>24.5</v>
      </c>
      <c r="X114" s="114">
        <v>20</v>
      </c>
      <c r="Y114" s="114">
        <v>35.1</v>
      </c>
      <c r="Z114" s="114">
        <v>32.4</v>
      </c>
      <c r="AA114" s="114">
        <v>25.5</v>
      </c>
      <c r="AB114" s="114">
        <v>9.9</v>
      </c>
      <c r="AC114" s="114">
        <v>-2</v>
      </c>
      <c r="AD114" s="114">
        <v>-2</v>
      </c>
      <c r="AE114" s="114">
        <v>-10</v>
      </c>
      <c r="AF114" s="114">
        <v>-13</v>
      </c>
      <c r="AG114" s="113">
        <v>60</v>
      </c>
      <c r="AH114" s="47">
        <f t="shared" si="12"/>
        <v>44.8</v>
      </c>
      <c r="AI114" s="48">
        <f t="shared" si="13"/>
        <v>-17.3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/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2"/>
        <v>0</v>
      </c>
      <c r="AI115" s="48">
        <f t="shared" si="13"/>
        <v>0</v>
      </c>
    </row>
    <row r="116" spans="1:37" x14ac:dyDescent="0.25">
      <c r="A116" s="115" t="s">
        <v>124</v>
      </c>
      <c r="B116" s="116">
        <v>82.4</v>
      </c>
      <c r="C116" s="116">
        <v>69</v>
      </c>
      <c r="D116" s="116">
        <v>41.3</v>
      </c>
      <c r="E116" s="116">
        <v>30.1</v>
      </c>
      <c r="F116" s="116">
        <v>27.5</v>
      </c>
      <c r="G116" s="116">
        <v>32.4</v>
      </c>
      <c r="H116" s="116">
        <v>16.2</v>
      </c>
      <c r="I116" s="116">
        <v>70</v>
      </c>
      <c r="J116" s="116">
        <v>35.9</v>
      </c>
      <c r="K116" s="116">
        <v>35.9</v>
      </c>
      <c r="L116" s="116">
        <v>36.299999999999997</v>
      </c>
      <c r="M116" s="116">
        <v>62.5</v>
      </c>
      <c r="N116" s="116">
        <v>52.3</v>
      </c>
      <c r="O116" s="116">
        <v>64.599999999999994</v>
      </c>
      <c r="P116" s="116">
        <v>73.400000000000006</v>
      </c>
      <c r="Q116" s="116">
        <v>52.8</v>
      </c>
      <c r="R116" s="116">
        <v>46.4</v>
      </c>
      <c r="S116" s="116">
        <v>-8.3000000000000007</v>
      </c>
      <c r="T116" s="116">
        <v>-8.3000000000000007</v>
      </c>
      <c r="U116" s="116">
        <v>39.799999999999997</v>
      </c>
      <c r="V116" s="116">
        <v>22.5</v>
      </c>
      <c r="W116" s="116">
        <v>32.4</v>
      </c>
      <c r="X116" s="116">
        <v>48.9</v>
      </c>
      <c r="Y116" s="116">
        <v>40.799999999999997</v>
      </c>
      <c r="Z116" s="116">
        <v>48.1</v>
      </c>
      <c r="AA116" s="116">
        <v>38.700000000000003</v>
      </c>
      <c r="AB116" s="116">
        <v>31.3</v>
      </c>
      <c r="AC116" s="116">
        <v>20</v>
      </c>
      <c r="AD116" s="116">
        <v>20</v>
      </c>
      <c r="AE116" s="116">
        <v>42.6</v>
      </c>
      <c r="AF116" s="116">
        <v>47.6</v>
      </c>
      <c r="AG116" s="117"/>
      <c r="AH116" s="47">
        <f t="shared" si="12"/>
        <v>82.4</v>
      </c>
      <c r="AI116" s="48">
        <f t="shared" si="13"/>
        <v>-8.3000000000000007</v>
      </c>
    </row>
    <row r="117" spans="1:37" x14ac:dyDescent="0.25">
      <c r="A117" s="115" t="s">
        <v>125</v>
      </c>
      <c r="B117" s="116">
        <v>-8.8000000000000007</v>
      </c>
      <c r="C117" s="116">
        <v>-11.3</v>
      </c>
      <c r="D117" s="116">
        <v>-20</v>
      </c>
      <c r="E117" s="116">
        <v>12.9</v>
      </c>
      <c r="F117" s="116">
        <v>20.8</v>
      </c>
      <c r="G117" s="116">
        <v>10</v>
      </c>
      <c r="H117" s="116">
        <v>-3.8</v>
      </c>
      <c r="I117" s="116">
        <v>-7</v>
      </c>
      <c r="J117" s="116">
        <v>-3.8</v>
      </c>
      <c r="K117" s="116">
        <v>-3.8</v>
      </c>
      <c r="L117" s="116">
        <v>2.6</v>
      </c>
      <c r="M117" s="116">
        <v>-23</v>
      </c>
      <c r="N117" s="116">
        <v>-27</v>
      </c>
      <c r="O117" s="116">
        <v>-25.9</v>
      </c>
      <c r="P117" s="116">
        <v>-42.8</v>
      </c>
      <c r="Q117" s="116">
        <v>-49</v>
      </c>
      <c r="R117" s="116">
        <v>-35.6</v>
      </c>
      <c r="S117" s="116">
        <v>-41.5</v>
      </c>
      <c r="T117" s="116">
        <v>-41.5</v>
      </c>
      <c r="U117" s="116">
        <v>-28.5</v>
      </c>
      <c r="V117" s="116">
        <v>-22.7</v>
      </c>
      <c r="W117" s="116">
        <v>-17.100000000000001</v>
      </c>
      <c r="X117" s="116">
        <v>-23</v>
      </c>
      <c r="Y117" s="116">
        <v>-13.4</v>
      </c>
      <c r="Z117" s="116">
        <v>-22.9</v>
      </c>
      <c r="AA117" s="116">
        <v>-23.3</v>
      </c>
      <c r="AB117" s="116">
        <v>31.9</v>
      </c>
      <c r="AC117" s="116">
        <v>-17</v>
      </c>
      <c r="AD117" s="116">
        <v>-17</v>
      </c>
      <c r="AE117" s="116">
        <v>78.3</v>
      </c>
      <c r="AF117" s="116">
        <v>0</v>
      </c>
      <c r="AG117" s="118"/>
      <c r="AH117" s="47">
        <f t="shared" si="12"/>
        <v>78.3</v>
      </c>
      <c r="AI117" s="48">
        <f t="shared" si="13"/>
        <v>-49</v>
      </c>
    </row>
    <row r="118" spans="1:37" x14ac:dyDescent="0.25">
      <c r="A118" s="119" t="s">
        <v>126</v>
      </c>
      <c r="B118" s="105">
        <v>86.6</v>
      </c>
      <c r="C118" s="105">
        <v>87.9</v>
      </c>
      <c r="D118" s="105">
        <v>92.1</v>
      </c>
      <c r="E118" s="105">
        <v>95.6</v>
      </c>
      <c r="F118" s="105">
        <v>95.6</v>
      </c>
      <c r="G118" s="105">
        <v>94.8</v>
      </c>
      <c r="H118" s="105">
        <v>91</v>
      </c>
      <c r="I118" s="105">
        <v>86</v>
      </c>
      <c r="J118" s="105">
        <v>82.3</v>
      </c>
      <c r="K118" s="105">
        <v>82.3</v>
      </c>
      <c r="L118" s="105">
        <v>82.4</v>
      </c>
      <c r="M118" s="105">
        <v>75.7</v>
      </c>
      <c r="N118" s="105">
        <v>76.7</v>
      </c>
      <c r="O118" s="105">
        <v>77.3</v>
      </c>
      <c r="P118" s="105">
        <v>79.2</v>
      </c>
      <c r="Q118" s="105">
        <v>82.3</v>
      </c>
      <c r="R118" s="105">
        <v>82.3</v>
      </c>
      <c r="S118" s="105">
        <v>68.099999999999994</v>
      </c>
      <c r="T118" s="105">
        <v>68.099999999999994</v>
      </c>
      <c r="U118" s="105">
        <v>75.89</v>
      </c>
      <c r="V118" s="105"/>
      <c r="W118" s="105"/>
      <c r="X118" s="105"/>
      <c r="Y118" s="105">
        <v>54.2</v>
      </c>
      <c r="Z118" s="105">
        <v>58.3</v>
      </c>
      <c r="AA118" s="105">
        <v>61.5</v>
      </c>
      <c r="AB118" s="105">
        <v>65.599999999999994</v>
      </c>
      <c r="AC118" s="105">
        <v>68</v>
      </c>
      <c r="AD118" s="105">
        <v>68</v>
      </c>
      <c r="AE118" s="105">
        <v>78.3</v>
      </c>
      <c r="AF118" s="105">
        <v>82.3</v>
      </c>
      <c r="AG118" s="118"/>
      <c r="AH118" s="47">
        <f t="shared" si="12"/>
        <v>95.6</v>
      </c>
      <c r="AI118" s="48">
        <f t="shared" si="13"/>
        <v>54.2</v>
      </c>
    </row>
    <row r="119" spans="1:37" x14ac:dyDescent="0.25">
      <c r="A119" s="120" t="s">
        <v>127</v>
      </c>
      <c r="B119" s="105">
        <v>54.6</v>
      </c>
      <c r="C119" s="105">
        <v>63.3</v>
      </c>
      <c r="D119" s="105">
        <v>65.900000000000006</v>
      </c>
      <c r="E119" s="105">
        <v>75.099999999999994</v>
      </c>
      <c r="F119" s="105">
        <v>75.400000000000006</v>
      </c>
      <c r="G119" s="105">
        <v>72.2</v>
      </c>
      <c r="H119" s="105">
        <v>81.900000000000006</v>
      </c>
      <c r="I119" s="105">
        <v>53.7</v>
      </c>
      <c r="J119" s="105">
        <v>70.099999999999994</v>
      </c>
      <c r="K119" s="105">
        <v>70.099999999999994</v>
      </c>
      <c r="L119" s="105">
        <v>42.6</v>
      </c>
      <c r="M119" s="105">
        <v>42.1</v>
      </c>
      <c r="N119" s="105">
        <v>68.5</v>
      </c>
      <c r="O119" s="105">
        <v>62</v>
      </c>
      <c r="P119" s="105">
        <v>65</v>
      </c>
      <c r="Q119" s="105">
        <v>64.400000000000006</v>
      </c>
      <c r="R119" s="105">
        <v>64.8</v>
      </c>
      <c r="S119" s="105">
        <v>87.5</v>
      </c>
      <c r="T119" s="105">
        <v>87.5</v>
      </c>
      <c r="U119" s="105">
        <v>59.9</v>
      </c>
      <c r="V119" s="105">
        <v>64</v>
      </c>
      <c r="W119" s="105">
        <v>59.1</v>
      </c>
      <c r="X119" s="105">
        <v>53.1</v>
      </c>
      <c r="Y119" s="105">
        <v>46.7</v>
      </c>
      <c r="Z119" s="105">
        <v>59.6</v>
      </c>
      <c r="AA119" s="105">
        <v>64.2</v>
      </c>
      <c r="AB119" s="105">
        <v>73.3</v>
      </c>
      <c r="AC119" s="105">
        <v>83.7</v>
      </c>
      <c r="AD119" s="105">
        <v>83.7</v>
      </c>
      <c r="AE119" s="105">
        <v>70.7</v>
      </c>
      <c r="AF119" s="105">
        <v>62.1</v>
      </c>
      <c r="AG119" s="118"/>
      <c r="AH119" s="47">
        <f t="shared" si="12"/>
        <v>87.5</v>
      </c>
      <c r="AI119" s="48">
        <f t="shared" si="13"/>
        <v>42.1</v>
      </c>
    </row>
    <row r="120" spans="1:37" ht="15.75" thickBot="1" x14ac:dyDescent="0.3">
      <c r="A120" s="119" t="s">
        <v>128</v>
      </c>
      <c r="B120" s="105">
        <v>-39.700000000000003</v>
      </c>
      <c r="C120" s="105">
        <v>-42.3</v>
      </c>
      <c r="D120" s="105">
        <v>-41</v>
      </c>
      <c r="E120" s="105">
        <v>-45.7</v>
      </c>
      <c r="F120" s="105">
        <v>-46.2</v>
      </c>
      <c r="G120" s="105">
        <v>-48.3</v>
      </c>
      <c r="H120" s="105">
        <v>-42.2</v>
      </c>
      <c r="I120" s="105">
        <v>-41.5</v>
      </c>
      <c r="J120" s="105">
        <v>-38.9</v>
      </c>
      <c r="K120" s="105">
        <v>-38.9</v>
      </c>
      <c r="L120" s="105">
        <v>-35</v>
      </c>
      <c r="M120" s="105">
        <v>-24</v>
      </c>
      <c r="N120" s="105">
        <v>-29.9</v>
      </c>
      <c r="O120" s="105">
        <v>-23.2</v>
      </c>
      <c r="P120" s="105">
        <v>-35.700000000000003</v>
      </c>
      <c r="Q120" s="105">
        <v>-37</v>
      </c>
      <c r="R120" s="105">
        <v>-29</v>
      </c>
      <c r="S120" s="105">
        <v>-26.6</v>
      </c>
      <c r="T120" s="105">
        <v>-26.6</v>
      </c>
      <c r="U120" s="105"/>
      <c r="V120" s="105"/>
      <c r="W120" s="105"/>
      <c r="X120" s="105"/>
      <c r="Y120" s="105">
        <v>5.4</v>
      </c>
      <c r="Z120" s="105">
        <v>0</v>
      </c>
      <c r="AA120" s="105">
        <v>-6.6</v>
      </c>
      <c r="AB120" s="105">
        <v>-7.7</v>
      </c>
      <c r="AC120" s="105">
        <v>-13</v>
      </c>
      <c r="AD120" s="105">
        <v>-13</v>
      </c>
      <c r="AE120" s="105">
        <v>-20</v>
      </c>
      <c r="AF120" s="105">
        <v>-25</v>
      </c>
      <c r="AG120" s="118"/>
      <c r="AH120" s="47">
        <f t="shared" si="12"/>
        <v>5.4</v>
      </c>
      <c r="AI120" s="48">
        <f t="shared" si="13"/>
        <v>-48.3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8">SUM(B122:B226)</f>
        <v>0</v>
      </c>
      <c r="C227" s="136">
        <f t="shared" si="28"/>
        <v>0</v>
      </c>
      <c r="D227" s="136">
        <f t="shared" si="28"/>
        <v>0</v>
      </c>
      <c r="E227" s="136">
        <f t="shared" si="28"/>
        <v>0</v>
      </c>
      <c r="F227" s="136">
        <f t="shared" si="28"/>
        <v>0</v>
      </c>
      <c r="G227" s="136">
        <f t="shared" si="28"/>
        <v>0</v>
      </c>
      <c r="H227" s="136">
        <f t="shared" si="28"/>
        <v>0</v>
      </c>
      <c r="I227" s="136">
        <f t="shared" si="28"/>
        <v>0</v>
      </c>
      <c r="J227" s="136">
        <f t="shared" si="28"/>
        <v>0</v>
      </c>
      <c r="K227" s="136">
        <f t="shared" si="28"/>
        <v>0</v>
      </c>
      <c r="L227" s="136">
        <f t="shared" si="28"/>
        <v>0</v>
      </c>
      <c r="M227" s="136">
        <f t="shared" si="28"/>
        <v>0</v>
      </c>
      <c r="N227" s="136">
        <f t="shared" si="28"/>
        <v>0</v>
      </c>
      <c r="O227" s="136">
        <f t="shared" si="28"/>
        <v>0</v>
      </c>
      <c r="P227" s="136">
        <f t="shared" si="28"/>
        <v>0</v>
      </c>
      <c r="Q227" s="136">
        <f t="shared" si="28"/>
        <v>0</v>
      </c>
      <c r="R227" s="136">
        <f t="shared" si="28"/>
        <v>0</v>
      </c>
      <c r="S227" s="136">
        <f t="shared" si="28"/>
        <v>0</v>
      </c>
      <c r="T227" s="136">
        <f t="shared" si="28"/>
        <v>0</v>
      </c>
      <c r="U227" s="136">
        <f t="shared" si="28"/>
        <v>0</v>
      </c>
      <c r="V227" s="136">
        <f t="shared" si="28"/>
        <v>0</v>
      </c>
      <c r="W227" s="136">
        <f>SUM(W122:W226)</f>
        <v>0</v>
      </c>
      <c r="X227" s="136">
        <f t="shared" si="28"/>
        <v>0</v>
      </c>
      <c r="Y227" s="136">
        <f t="shared" si="28"/>
        <v>0</v>
      </c>
      <c r="Z227" s="136">
        <f t="shared" si="28"/>
        <v>0</v>
      </c>
      <c r="AA227" s="136">
        <f t="shared" si="28"/>
        <v>0</v>
      </c>
      <c r="AB227" s="136">
        <f t="shared" si="28"/>
        <v>0</v>
      </c>
      <c r="AC227" s="136">
        <f t="shared" si="28"/>
        <v>0</v>
      </c>
      <c r="AD227" s="136">
        <f t="shared" si="28"/>
        <v>0</v>
      </c>
      <c r="AE227" s="136">
        <f t="shared" si="28"/>
        <v>0</v>
      </c>
      <c r="AF227" s="137">
        <f t="shared" si="28"/>
        <v>0</v>
      </c>
      <c r="AG227" s="138">
        <f t="shared" si="2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9">AF229</f>
        <v>0</v>
      </c>
      <c r="C229" s="140">
        <v>0.3</v>
      </c>
      <c r="D229" s="140">
        <f t="shared" ref="D229:P234" si="30">C229</f>
        <v>0.3</v>
      </c>
      <c r="E229" s="140">
        <f t="shared" si="30"/>
        <v>0.3</v>
      </c>
      <c r="F229" s="140">
        <f t="shared" si="30"/>
        <v>0.3</v>
      </c>
      <c r="G229" s="140">
        <f t="shared" si="30"/>
        <v>0.3</v>
      </c>
      <c r="H229" s="140">
        <f t="shared" si="30"/>
        <v>0.3</v>
      </c>
      <c r="I229" s="140">
        <f t="shared" si="30"/>
        <v>0.3</v>
      </c>
      <c r="J229" s="140">
        <f t="shared" si="30"/>
        <v>0.3</v>
      </c>
      <c r="K229" s="140">
        <f t="shared" si="30"/>
        <v>0.3</v>
      </c>
      <c r="L229" s="140">
        <f t="shared" si="30"/>
        <v>0.3</v>
      </c>
      <c r="M229" s="140">
        <f t="shared" si="30"/>
        <v>0.3</v>
      </c>
      <c r="N229" s="140">
        <f t="shared" si="30"/>
        <v>0.3</v>
      </c>
      <c r="O229" s="140">
        <f t="shared" si="30"/>
        <v>0.3</v>
      </c>
      <c r="P229" s="140">
        <f t="shared" si="3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9"/>
        <v>0</v>
      </c>
      <c r="C230" s="128">
        <v>0.4</v>
      </c>
      <c r="D230" s="128">
        <f t="shared" si="30"/>
        <v>0.4</v>
      </c>
      <c r="E230" s="128">
        <f t="shared" si="30"/>
        <v>0.4</v>
      </c>
      <c r="F230" s="128">
        <f t="shared" si="30"/>
        <v>0.4</v>
      </c>
      <c r="G230" s="128">
        <f t="shared" si="30"/>
        <v>0.4</v>
      </c>
      <c r="H230" s="128">
        <f t="shared" si="30"/>
        <v>0.4</v>
      </c>
      <c r="I230" s="128">
        <f t="shared" si="30"/>
        <v>0.4</v>
      </c>
      <c r="J230" s="128">
        <f t="shared" si="30"/>
        <v>0.4</v>
      </c>
      <c r="K230" s="128">
        <f t="shared" si="30"/>
        <v>0.4</v>
      </c>
      <c r="L230" s="128">
        <f t="shared" si="30"/>
        <v>0.4</v>
      </c>
      <c r="M230" s="128">
        <f t="shared" si="30"/>
        <v>0.4</v>
      </c>
      <c r="N230" s="128">
        <f t="shared" si="30"/>
        <v>0.4</v>
      </c>
      <c r="O230" s="128">
        <f t="shared" si="30"/>
        <v>0.4</v>
      </c>
      <c r="P230" s="128">
        <f t="shared" si="3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9"/>
        <v>0</v>
      </c>
      <c r="C231" s="128">
        <v>1.5</v>
      </c>
      <c r="D231" s="128">
        <f t="shared" si="30"/>
        <v>1.5</v>
      </c>
      <c r="E231" s="128">
        <f t="shared" si="30"/>
        <v>1.5</v>
      </c>
      <c r="F231" s="128">
        <f t="shared" si="30"/>
        <v>1.5</v>
      </c>
      <c r="G231" s="128">
        <f t="shared" si="30"/>
        <v>1.5</v>
      </c>
      <c r="H231" s="128">
        <f t="shared" si="3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30"/>
        <v>123.21900000000009</v>
      </c>
      <c r="K231" s="128">
        <f t="shared" ca="1" si="30"/>
        <v>123.21900000000009</v>
      </c>
      <c r="L231" s="128">
        <f t="shared" ca="1" si="30"/>
        <v>123.21900000000009</v>
      </c>
      <c r="M231" s="128">
        <f t="shared" ca="1" si="30"/>
        <v>119.19900000000008</v>
      </c>
      <c r="N231" s="128">
        <f t="shared" ca="1" si="30"/>
        <v>119.19900000000008</v>
      </c>
      <c r="O231" s="128">
        <f t="shared" ca="1" si="30"/>
        <v>119.19900000000008</v>
      </c>
      <c r="P231" s="128">
        <f t="shared" ca="1" si="3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9"/>
        <v>0</v>
      </c>
      <c r="C232" s="128">
        <v>0.3</v>
      </c>
      <c r="D232" s="128">
        <f t="shared" si="30"/>
        <v>0.3</v>
      </c>
      <c r="E232" s="128">
        <f t="shared" si="30"/>
        <v>0.3</v>
      </c>
      <c r="F232" s="128">
        <f t="shared" si="30"/>
        <v>0.3</v>
      </c>
      <c r="G232" s="128">
        <f t="shared" si="30"/>
        <v>0.3</v>
      </c>
      <c r="H232" s="128">
        <f t="shared" si="30"/>
        <v>0.3</v>
      </c>
      <c r="I232" s="128">
        <f t="shared" si="30"/>
        <v>0.3</v>
      </c>
      <c r="J232" s="128">
        <f t="shared" si="30"/>
        <v>0.3</v>
      </c>
      <c r="K232" s="128">
        <f t="shared" si="30"/>
        <v>0.3</v>
      </c>
      <c r="L232" s="128">
        <f t="shared" si="30"/>
        <v>0.3</v>
      </c>
      <c r="M232" s="128">
        <f t="shared" si="30"/>
        <v>0.3</v>
      </c>
      <c r="N232" s="128">
        <f t="shared" si="30"/>
        <v>0.3</v>
      </c>
      <c r="O232" s="128">
        <f t="shared" si="30"/>
        <v>0.3</v>
      </c>
      <c r="P232" s="128">
        <f t="shared" si="3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9"/>
        <v>0</v>
      </c>
      <c r="C233" s="128">
        <v>0.4</v>
      </c>
      <c r="D233" s="128">
        <f t="shared" si="30"/>
        <v>0.4</v>
      </c>
      <c r="E233" s="128">
        <f t="shared" si="30"/>
        <v>0.4</v>
      </c>
      <c r="F233" s="128">
        <f t="shared" si="30"/>
        <v>0.4</v>
      </c>
      <c r="G233" s="128">
        <f t="shared" si="30"/>
        <v>0.4</v>
      </c>
      <c r="H233" s="128">
        <f t="shared" si="30"/>
        <v>0.4</v>
      </c>
      <c r="I233" s="128">
        <f t="shared" si="30"/>
        <v>0.4</v>
      </c>
      <c r="J233" s="128">
        <f t="shared" si="30"/>
        <v>0.4</v>
      </c>
      <c r="K233" s="128">
        <f t="shared" si="30"/>
        <v>0.4</v>
      </c>
      <c r="L233" s="128">
        <f t="shared" si="30"/>
        <v>0.4</v>
      </c>
      <c r="M233" s="128">
        <f t="shared" si="30"/>
        <v>0.4</v>
      </c>
      <c r="N233" s="128">
        <f t="shared" si="30"/>
        <v>0.4</v>
      </c>
      <c r="O233" s="128">
        <f t="shared" si="30"/>
        <v>0.4</v>
      </c>
      <c r="P233" s="128">
        <f t="shared" si="3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9"/>
        <v>0</v>
      </c>
      <c r="C234" s="132">
        <v>0.64</v>
      </c>
      <c r="D234" s="132">
        <f t="shared" si="30"/>
        <v>0.64</v>
      </c>
      <c r="E234" s="132">
        <f t="shared" si="30"/>
        <v>0.64</v>
      </c>
      <c r="F234" s="132">
        <f t="shared" si="30"/>
        <v>0.64</v>
      </c>
      <c r="G234" s="132">
        <f t="shared" si="30"/>
        <v>0.64</v>
      </c>
      <c r="H234" s="132">
        <f t="shared" si="30"/>
        <v>0.64</v>
      </c>
      <c r="I234" s="132">
        <f t="shared" si="30"/>
        <v>0.64</v>
      </c>
      <c r="J234" s="132">
        <f t="shared" si="30"/>
        <v>0.64</v>
      </c>
      <c r="K234" s="132">
        <f t="shared" si="30"/>
        <v>0.64</v>
      </c>
      <c r="L234" s="132">
        <f t="shared" si="30"/>
        <v>0.64</v>
      </c>
      <c r="M234" s="132">
        <f t="shared" si="30"/>
        <v>0.64</v>
      </c>
      <c r="N234" s="132">
        <f t="shared" si="30"/>
        <v>0.64</v>
      </c>
      <c r="O234" s="132">
        <f t="shared" si="30"/>
        <v>0.64</v>
      </c>
      <c r="P234" s="132">
        <f t="shared" si="3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31">SUM(B229:B234)</f>
        <v>0</v>
      </c>
      <c r="C235" s="136">
        <f t="shared" si="31"/>
        <v>3.54</v>
      </c>
      <c r="D235" s="136">
        <f t="shared" si="31"/>
        <v>3.54</v>
      </c>
      <c r="E235" s="136">
        <f t="shared" si="31"/>
        <v>3.54</v>
      </c>
      <c r="F235" s="136">
        <f t="shared" si="31"/>
        <v>3.54</v>
      </c>
      <c r="G235" s="136">
        <f t="shared" si="31"/>
        <v>3.54</v>
      </c>
      <c r="H235" s="136">
        <f t="shared" si="31"/>
        <v>3.54</v>
      </c>
      <c r="I235" s="136">
        <f t="shared" ca="1" si="31"/>
        <v>121.23900000000009</v>
      </c>
      <c r="J235" s="136">
        <f t="shared" ca="1" si="31"/>
        <v>121.23900000000009</v>
      </c>
      <c r="K235" s="136">
        <f t="shared" ca="1" si="31"/>
        <v>121.23900000000009</v>
      </c>
      <c r="L235" s="136">
        <f t="shared" ca="1" si="31"/>
        <v>125.2590000000001</v>
      </c>
      <c r="M235" s="136">
        <f t="shared" ca="1" si="31"/>
        <v>121.23900000000009</v>
      </c>
      <c r="N235" s="136">
        <f t="shared" ca="1" si="31"/>
        <v>121.23900000000009</v>
      </c>
      <c r="O235" s="136">
        <f t="shared" ca="1" si="31"/>
        <v>121.23900000000009</v>
      </c>
      <c r="P235" s="136">
        <f t="shared" ca="1" si="31"/>
        <v>121.23900000000009</v>
      </c>
      <c r="Q235" s="136">
        <f t="shared" si="31"/>
        <v>0</v>
      </c>
      <c r="R235" s="136">
        <f t="shared" si="31"/>
        <v>0</v>
      </c>
      <c r="S235" s="136">
        <f t="shared" si="31"/>
        <v>0</v>
      </c>
      <c r="T235" s="136">
        <f t="shared" si="31"/>
        <v>0</v>
      </c>
      <c r="U235" s="136">
        <f t="shared" si="31"/>
        <v>0</v>
      </c>
      <c r="V235" s="136">
        <f t="shared" si="31"/>
        <v>0</v>
      </c>
      <c r="W235" s="136">
        <f t="shared" si="31"/>
        <v>0</v>
      </c>
      <c r="X235" s="136">
        <f t="shared" si="31"/>
        <v>0</v>
      </c>
      <c r="Y235" s="136">
        <f t="shared" si="31"/>
        <v>0</v>
      </c>
      <c r="Z235" s="136">
        <f t="shared" si="31"/>
        <v>0</v>
      </c>
      <c r="AA235" s="136">
        <f t="shared" si="31"/>
        <v>0</v>
      </c>
      <c r="AB235" s="136">
        <f t="shared" si="31"/>
        <v>0</v>
      </c>
      <c r="AC235" s="136">
        <f t="shared" si="31"/>
        <v>0</v>
      </c>
      <c r="AD235" s="136">
        <f t="shared" si="31"/>
        <v>0</v>
      </c>
      <c r="AE235" s="136">
        <f t="shared" si="31"/>
        <v>0</v>
      </c>
      <c r="AF235" s="136">
        <f t="shared" si="31"/>
        <v>0</v>
      </c>
      <c r="AG235" s="145">
        <f t="shared" si="3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2180.2399999999998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18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2080/06/18)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2080/06/18)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2">B91</f>
        <v>1947.54</v>
      </c>
      <c r="U249" s="170">
        <f t="shared" si="32"/>
        <v>1947.54</v>
      </c>
      <c r="V249" s="170">
        <f t="shared" si="32"/>
        <v>1951.04</v>
      </c>
      <c r="W249" s="170">
        <f t="shared" si="32"/>
        <v>1952.54</v>
      </c>
      <c r="X249" s="170">
        <f t="shared" si="32"/>
        <v>1941.54</v>
      </c>
      <c r="Y249" s="170">
        <f t="shared" si="32"/>
        <v>1978.14</v>
      </c>
      <c r="Z249" s="170">
        <f t="shared" si="32"/>
        <v>2011.24</v>
      </c>
      <c r="AA249" s="170">
        <f t="shared" si="32"/>
        <v>2011.24</v>
      </c>
      <c r="AB249" s="170">
        <f t="shared" si="32"/>
        <v>2047.3399999999997</v>
      </c>
      <c r="AC249" s="170">
        <f t="shared" si="32"/>
        <v>2121.64</v>
      </c>
      <c r="AD249" s="170">
        <f t="shared" si="32"/>
        <v>2180.2399999999998</v>
      </c>
      <c r="AE249" s="170">
        <f t="shared" si="32"/>
        <v>2119.9399999999996</v>
      </c>
      <c r="AF249" s="170">
        <f t="shared" si="32"/>
        <v>2136.9399999999996</v>
      </c>
      <c r="AG249" s="170">
        <f t="shared" si="32"/>
        <v>2097.2399999999998</v>
      </c>
      <c r="AH249" s="170">
        <f t="shared" si="32"/>
        <v>2106.54</v>
      </c>
      <c r="AI249" s="170">
        <f t="shared" si="32"/>
        <v>2085.44</v>
      </c>
      <c r="AJ249" s="170">
        <f t="shared" si="32"/>
        <v>2063.14</v>
      </c>
      <c r="AK249" s="170">
        <f t="shared" si="32"/>
        <v>2095.1400000000003</v>
      </c>
      <c r="AL249" s="170">
        <f t="shared" si="32"/>
        <v>2093.34</v>
      </c>
      <c r="AM249" s="170">
        <f t="shared" si="32"/>
        <v>2065.3399999999997</v>
      </c>
      <c r="AN249" s="170">
        <f t="shared" si="32"/>
        <v>1694.24</v>
      </c>
      <c r="AO249" s="170">
        <f t="shared" si="32"/>
        <v>1684.44</v>
      </c>
      <c r="AP249" s="170">
        <f t="shared" si="32"/>
        <v>1720.04</v>
      </c>
      <c r="AQ249" s="170">
        <f t="shared" si="32"/>
        <v>2178.94</v>
      </c>
      <c r="AR249" s="170">
        <f t="shared" si="32"/>
        <v>2189.04</v>
      </c>
      <c r="AS249" s="170">
        <f t="shared" si="32"/>
        <v>2168.34</v>
      </c>
      <c r="AT249" s="170">
        <f t="shared" si="32"/>
        <v>2136.44</v>
      </c>
      <c r="AU249" s="170">
        <f t="shared" si="32"/>
        <v>2123.1400000000003</v>
      </c>
      <c r="AV249" s="170">
        <f t="shared" si="32"/>
        <v>2113.1400000000003</v>
      </c>
      <c r="AW249" s="170">
        <f t="shared" si="32"/>
        <v>2051.04</v>
      </c>
      <c r="AX249" s="170">
        <f t="shared" si="32"/>
        <v>2036.04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3">C234</f>
        <v>0.64</v>
      </c>
      <c r="C270" s="173">
        <f t="shared" si="33"/>
        <v>0.64</v>
      </c>
      <c r="D270" s="173">
        <f t="shared" si="33"/>
        <v>0.64</v>
      </c>
      <c r="E270" s="173">
        <f t="shared" si="33"/>
        <v>0.64</v>
      </c>
      <c r="F270" s="173">
        <f t="shared" si="33"/>
        <v>0.64</v>
      </c>
      <c r="G270" s="173">
        <f t="shared" si="33"/>
        <v>0.64</v>
      </c>
      <c r="H270" s="173">
        <f t="shared" si="33"/>
        <v>0.64</v>
      </c>
      <c r="I270" s="173">
        <f t="shared" si="33"/>
        <v>0.64</v>
      </c>
      <c r="J270" s="173">
        <f t="shared" si="33"/>
        <v>0.64</v>
      </c>
      <c r="K270" s="173">
        <f t="shared" si="33"/>
        <v>0.64</v>
      </c>
      <c r="L270" s="173">
        <f t="shared" si="33"/>
        <v>0.64</v>
      </c>
      <c r="M270" s="173">
        <f t="shared" si="33"/>
        <v>0.64</v>
      </c>
      <c r="N270" s="173">
        <f t="shared" si="33"/>
        <v>0.64</v>
      </c>
      <c r="O270" s="173">
        <f t="shared" si="33"/>
        <v>0.64</v>
      </c>
      <c r="P270" s="173">
        <f t="shared" si="33"/>
        <v>0</v>
      </c>
      <c r="Q270" s="173">
        <f t="shared" si="33"/>
        <v>0</v>
      </c>
      <c r="R270" s="173">
        <f t="shared" si="33"/>
        <v>0</v>
      </c>
      <c r="S270" s="173">
        <f t="shared" si="33"/>
        <v>0</v>
      </c>
      <c r="T270" s="173">
        <f t="shared" si="33"/>
        <v>0</v>
      </c>
      <c r="U270" s="173">
        <f t="shared" si="33"/>
        <v>0</v>
      </c>
      <c r="V270" s="173">
        <f t="shared" si="33"/>
        <v>0</v>
      </c>
      <c r="W270" s="173">
        <f t="shared" si="33"/>
        <v>0</v>
      </c>
      <c r="X270" s="173">
        <f t="shared" si="33"/>
        <v>0</v>
      </c>
      <c r="Y270" s="173">
        <f t="shared" si="33"/>
        <v>0</v>
      </c>
      <c r="Z270" s="173">
        <f t="shared" si="33"/>
        <v>0</v>
      </c>
      <c r="AA270" s="173">
        <f t="shared" si="33"/>
        <v>0</v>
      </c>
      <c r="AB270" s="173">
        <f t="shared" si="33"/>
        <v>0</v>
      </c>
      <c r="AC270" s="173">
        <f t="shared" si="33"/>
        <v>0</v>
      </c>
      <c r="AD270" s="173">
        <f t="shared" si="33"/>
        <v>0</v>
      </c>
      <c r="AE270" s="173">
        <f t="shared" si="3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4">IF(B238&lt;100,"",B238-520)</f>
        <v/>
      </c>
      <c r="C271" s="174" t="str">
        <f t="shared" si="34"/>
        <v/>
      </c>
      <c r="D271" s="174" t="str">
        <f t="shared" si="34"/>
        <v/>
      </c>
      <c r="E271" s="174" t="str">
        <f t="shared" si="34"/>
        <v/>
      </c>
      <c r="F271" s="174" t="str">
        <f t="shared" si="34"/>
        <v/>
      </c>
      <c r="G271" s="174" t="str">
        <f t="shared" si="34"/>
        <v/>
      </c>
      <c r="H271" s="174" t="str">
        <f t="shared" si="34"/>
        <v/>
      </c>
      <c r="I271" s="174" t="str">
        <f t="shared" si="34"/>
        <v/>
      </c>
      <c r="J271" s="174" t="str">
        <f t="shared" si="34"/>
        <v/>
      </c>
      <c r="K271" s="174" t="str">
        <f t="shared" si="34"/>
        <v/>
      </c>
      <c r="L271" s="174" t="str">
        <f t="shared" si="34"/>
        <v/>
      </c>
      <c r="M271" s="174" t="str">
        <f t="shared" si="34"/>
        <v/>
      </c>
      <c r="N271" s="174" t="str">
        <f t="shared" si="34"/>
        <v/>
      </c>
      <c r="O271" s="174" t="str">
        <f t="shared" si="34"/>
        <v/>
      </c>
      <c r="P271" s="174" t="str">
        <f t="shared" si="34"/>
        <v/>
      </c>
      <c r="Q271" s="174" t="str">
        <f t="shared" si="34"/>
        <v/>
      </c>
      <c r="R271" s="174" t="str">
        <f t="shared" si="34"/>
        <v/>
      </c>
      <c r="S271" s="174" t="str">
        <f t="shared" si="34"/>
        <v/>
      </c>
      <c r="T271" s="174" t="str">
        <f t="shared" si="34"/>
        <v/>
      </c>
      <c r="U271" s="174" t="str">
        <f t="shared" si="34"/>
        <v/>
      </c>
      <c r="V271" s="174" t="str">
        <f t="shared" si="34"/>
        <v/>
      </c>
      <c r="W271" s="174" t="str">
        <f t="shared" si="34"/>
        <v/>
      </c>
      <c r="X271" s="174" t="str">
        <f t="shared" si="34"/>
        <v/>
      </c>
      <c r="Y271" s="174" t="str">
        <f t="shared" si="34"/>
        <v/>
      </c>
      <c r="Z271" s="174" t="str">
        <f t="shared" si="34"/>
        <v/>
      </c>
      <c r="AA271" s="174" t="str">
        <f t="shared" si="34"/>
        <v/>
      </c>
      <c r="AB271" s="174" t="str">
        <f t="shared" si="34"/>
        <v/>
      </c>
      <c r="AC271" s="174" t="str">
        <f t="shared" si="34"/>
        <v/>
      </c>
      <c r="AD271" s="174" t="str">
        <f t="shared" si="34"/>
        <v/>
      </c>
      <c r="AE271" s="174" t="str">
        <f t="shared" si="34"/>
        <v/>
      </c>
      <c r="AF271" s="174" t="str">
        <f t="shared" si="3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5">IF(B239&lt;100,"",B239-620)</f>
        <v/>
      </c>
      <c r="C272" s="174" t="str">
        <f t="shared" si="35"/>
        <v/>
      </c>
      <c r="D272" s="174" t="str">
        <f t="shared" si="35"/>
        <v/>
      </c>
      <c r="E272" s="174" t="str">
        <f t="shared" si="35"/>
        <v/>
      </c>
      <c r="F272" s="174" t="str">
        <f t="shared" si="35"/>
        <v/>
      </c>
      <c r="G272" s="174" t="str">
        <f t="shared" si="35"/>
        <v/>
      </c>
      <c r="H272" s="174" t="str">
        <f t="shared" si="35"/>
        <v/>
      </c>
      <c r="I272" s="174" t="str">
        <f t="shared" si="35"/>
        <v/>
      </c>
      <c r="J272" s="174" t="str">
        <f t="shared" si="35"/>
        <v/>
      </c>
      <c r="K272" s="174" t="str">
        <f t="shared" si="35"/>
        <v/>
      </c>
      <c r="L272" s="174" t="str">
        <f t="shared" si="35"/>
        <v/>
      </c>
      <c r="M272" s="174" t="str">
        <f t="shared" si="35"/>
        <v/>
      </c>
      <c r="N272" s="174" t="str">
        <f t="shared" si="35"/>
        <v/>
      </c>
      <c r="O272" s="174" t="str">
        <f t="shared" si="35"/>
        <v/>
      </c>
      <c r="P272" s="174" t="str">
        <f t="shared" si="35"/>
        <v/>
      </c>
      <c r="Q272" s="174" t="str">
        <f t="shared" si="35"/>
        <v/>
      </c>
      <c r="R272" s="174" t="str">
        <f t="shared" si="35"/>
        <v/>
      </c>
      <c r="S272" s="174" t="str">
        <f t="shared" si="35"/>
        <v/>
      </c>
      <c r="T272" s="174" t="str">
        <f t="shared" si="35"/>
        <v/>
      </c>
      <c r="U272" s="174" t="str">
        <f t="shared" si="35"/>
        <v/>
      </c>
      <c r="V272" s="174" t="str">
        <f t="shared" si="35"/>
        <v/>
      </c>
      <c r="W272" s="174" t="str">
        <f t="shared" si="35"/>
        <v/>
      </c>
      <c r="X272" s="174" t="str">
        <f t="shared" si="35"/>
        <v/>
      </c>
      <c r="Y272" s="174" t="str">
        <f t="shared" si="35"/>
        <v/>
      </c>
      <c r="Z272" s="174" t="str">
        <f t="shared" si="35"/>
        <v/>
      </c>
      <c r="AA272" s="174" t="str">
        <f t="shared" si="35"/>
        <v/>
      </c>
      <c r="AB272" s="174" t="str">
        <f t="shared" si="35"/>
        <v/>
      </c>
      <c r="AC272" s="174" t="str">
        <f t="shared" si="35"/>
        <v/>
      </c>
      <c r="AD272" s="174" t="str">
        <f t="shared" si="35"/>
        <v/>
      </c>
      <c r="AE272" s="174" t="str">
        <f t="shared" si="35"/>
        <v/>
      </c>
      <c r="AF272" s="174" t="str">
        <f t="shared" si="3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6">IF(B240&lt;100,"",B240-330)</f>
        <v/>
      </c>
      <c r="C273" s="174" t="str">
        <f t="shared" si="36"/>
        <v/>
      </c>
      <c r="D273" s="174" t="str">
        <f t="shared" si="36"/>
        <v/>
      </c>
      <c r="E273" s="174" t="str">
        <f t="shared" si="36"/>
        <v/>
      </c>
      <c r="F273" s="174" t="str">
        <f t="shared" si="36"/>
        <v/>
      </c>
      <c r="G273" s="174" t="str">
        <f t="shared" si="36"/>
        <v/>
      </c>
      <c r="H273" s="174" t="str">
        <f t="shared" si="36"/>
        <v/>
      </c>
      <c r="I273" s="174" t="str">
        <f t="shared" si="36"/>
        <v/>
      </c>
      <c r="J273" s="174" t="str">
        <f t="shared" si="36"/>
        <v/>
      </c>
      <c r="K273" s="174" t="str">
        <f t="shared" si="36"/>
        <v/>
      </c>
      <c r="L273" s="174" t="str">
        <f t="shared" si="36"/>
        <v/>
      </c>
      <c r="M273" s="174" t="str">
        <f t="shared" si="36"/>
        <v/>
      </c>
      <c r="N273" s="174" t="str">
        <f t="shared" si="36"/>
        <v/>
      </c>
      <c r="O273" s="174" t="str">
        <f t="shared" si="36"/>
        <v/>
      </c>
      <c r="P273" s="174" t="str">
        <f t="shared" si="36"/>
        <v/>
      </c>
      <c r="Q273" s="174" t="str">
        <f t="shared" si="36"/>
        <v/>
      </c>
      <c r="R273" s="174" t="str">
        <f t="shared" si="36"/>
        <v/>
      </c>
      <c r="S273" s="174" t="str">
        <f t="shared" si="36"/>
        <v/>
      </c>
      <c r="T273" s="174" t="str">
        <f t="shared" si="36"/>
        <v/>
      </c>
      <c r="U273" s="174" t="str">
        <f t="shared" si="36"/>
        <v/>
      </c>
      <c r="V273" s="174" t="str">
        <f t="shared" si="36"/>
        <v/>
      </c>
      <c r="W273" s="174" t="str">
        <f t="shared" si="36"/>
        <v/>
      </c>
      <c r="X273" s="174" t="str">
        <f t="shared" si="36"/>
        <v/>
      </c>
      <c r="Y273" s="174" t="str">
        <f t="shared" si="36"/>
        <v/>
      </c>
      <c r="Z273" s="174" t="str">
        <f t="shared" si="36"/>
        <v/>
      </c>
      <c r="AA273" s="174" t="str">
        <f t="shared" si="36"/>
        <v/>
      </c>
      <c r="AB273" s="174" t="str">
        <f t="shared" si="36"/>
        <v/>
      </c>
      <c r="AC273" s="174" t="str">
        <f t="shared" si="36"/>
        <v/>
      </c>
      <c r="AD273" s="174" t="str">
        <f t="shared" si="36"/>
        <v/>
      </c>
      <c r="AE273" s="174" t="str">
        <f t="shared" si="36"/>
        <v/>
      </c>
      <c r="AF273" s="174" t="str">
        <f t="shared" si="3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7">IF(B241&lt;100,"",B241-1500)</f>
        <v/>
      </c>
      <c r="C274" s="174" t="str">
        <f t="shared" si="37"/>
        <v/>
      </c>
      <c r="D274" s="174" t="str">
        <f t="shared" si="37"/>
        <v/>
      </c>
      <c r="E274" s="174" t="str">
        <f t="shared" si="37"/>
        <v/>
      </c>
      <c r="F274" s="174" t="str">
        <f t="shared" si="37"/>
        <v/>
      </c>
      <c r="G274" s="174" t="str">
        <f t="shared" si="37"/>
        <v/>
      </c>
      <c r="H274" s="174" t="str">
        <f t="shared" si="37"/>
        <v/>
      </c>
      <c r="I274" s="174" t="str">
        <f t="shared" si="37"/>
        <v/>
      </c>
      <c r="J274" s="174" t="str">
        <f t="shared" si="37"/>
        <v/>
      </c>
      <c r="K274" s="174" t="str">
        <f t="shared" si="37"/>
        <v/>
      </c>
      <c r="L274" s="174" t="str">
        <f t="shared" si="37"/>
        <v/>
      </c>
      <c r="M274" s="174" t="str">
        <f t="shared" si="37"/>
        <v/>
      </c>
      <c r="N274" s="174" t="str">
        <f t="shared" si="37"/>
        <v/>
      </c>
      <c r="O274" s="174" t="str">
        <f t="shared" si="37"/>
        <v/>
      </c>
      <c r="P274" s="174" t="str">
        <f t="shared" si="37"/>
        <v/>
      </c>
      <c r="Q274" s="174" t="str">
        <f t="shared" si="37"/>
        <v/>
      </c>
      <c r="R274" s="174" t="str">
        <f t="shared" si="37"/>
        <v/>
      </c>
      <c r="S274" s="174" t="str">
        <f t="shared" si="37"/>
        <v/>
      </c>
      <c r="T274" s="174" t="str">
        <f t="shared" si="37"/>
        <v/>
      </c>
      <c r="U274" s="174" t="str">
        <f t="shared" si="37"/>
        <v/>
      </c>
      <c r="V274" s="174" t="str">
        <f t="shared" si="37"/>
        <v/>
      </c>
      <c r="W274" s="174" t="str">
        <f t="shared" si="37"/>
        <v/>
      </c>
      <c r="X274" s="174" t="str">
        <f t="shared" si="37"/>
        <v/>
      </c>
      <c r="Y274" s="174" t="str">
        <f t="shared" si="37"/>
        <v/>
      </c>
      <c r="Z274" s="174" t="str">
        <f t="shared" si="37"/>
        <v/>
      </c>
      <c r="AA274" s="174" t="str">
        <f t="shared" si="37"/>
        <v/>
      </c>
      <c r="AB274" s="174" t="str">
        <f t="shared" si="37"/>
        <v/>
      </c>
      <c r="AC274" s="174" t="str">
        <f t="shared" si="37"/>
        <v/>
      </c>
      <c r="AD274" s="174" t="str">
        <f t="shared" si="37"/>
        <v/>
      </c>
      <c r="AE274" s="174" t="str">
        <f t="shared" si="37"/>
        <v/>
      </c>
      <c r="AF274" s="174" t="str">
        <f t="shared" si="3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773" priority="64">
      <formula>$AH11=0</formula>
    </cfRule>
  </conditionalFormatting>
  <conditionalFormatting sqref="B8 M8 S8 AB8">
    <cfRule type="expression" dxfId="1772" priority="115">
      <formula>AND(C$9&gt;=14/24,C$9&lt;20/24)</formula>
    </cfRule>
    <cfRule type="expression" dxfId="1771" priority="116">
      <formula>AND(C$9&gt;=8/24,C$9&lt;14/24)</formula>
    </cfRule>
    <cfRule type="expression" dxfId="1770" priority="117">
      <formula>C$9&lt;8/24</formula>
    </cfRule>
  </conditionalFormatting>
  <conditionalFormatting sqref="B54:C54">
    <cfRule type="expression" dxfId="1769" priority="38">
      <formula>B$9&gt;=20/24</formula>
    </cfRule>
    <cfRule type="expression" dxfId="1768" priority="39">
      <formula>AND(B$9&gt;=14/24,B$9&lt;20/24)</formula>
    </cfRule>
    <cfRule type="expression" dxfId="1767" priority="40">
      <formula>AND(B$9&gt;=8/24,B$9&lt;14/24)</formula>
    </cfRule>
    <cfRule type="expression" dxfId="1766" priority="41">
      <formula>B$9&lt;8/24</formula>
    </cfRule>
  </conditionalFormatting>
  <conditionalFormatting sqref="B54:C66 D58:D66">
    <cfRule type="expression" dxfId="1765" priority="33">
      <formula>B54&gt;$AG54</formula>
    </cfRule>
  </conditionalFormatting>
  <conditionalFormatting sqref="B55:D59">
    <cfRule type="expression" dxfId="1764" priority="60">
      <formula>B$9&gt;=20/24</formula>
    </cfRule>
    <cfRule type="expression" dxfId="1763" priority="61">
      <formula>AND(B$9&gt;=14/24,B$9&lt;20/24)</formula>
    </cfRule>
    <cfRule type="expression" dxfId="1762" priority="62">
      <formula>AND(B$9&gt;=8/24,B$9&lt;14/24)</formula>
    </cfRule>
    <cfRule type="expression" dxfId="1761" priority="63">
      <formula>B$9&lt;8/24</formula>
    </cfRule>
  </conditionalFormatting>
  <conditionalFormatting sqref="B60:X60">
    <cfRule type="expression" dxfId="1760" priority="51">
      <formula>B$9&gt;=20/24</formula>
    </cfRule>
    <cfRule type="expression" dxfId="1759" priority="52">
      <formula>AND(B$9&gt;=14/24,B$9&lt;20/24)</formula>
    </cfRule>
    <cfRule type="expression" dxfId="1758" priority="53">
      <formula>AND(B$9&gt;=8/24,B$9&lt;14/24)</formula>
    </cfRule>
    <cfRule type="expression" dxfId="1757" priority="54">
      <formula>B$9&lt;8/24</formula>
    </cfRule>
  </conditionalFormatting>
  <conditionalFormatting sqref="B61:AF66">
    <cfRule type="expression" dxfId="1756" priority="34">
      <formula>B$9&gt;=20/24</formula>
    </cfRule>
    <cfRule type="expression" dxfId="1755" priority="35">
      <formula>AND(B$9&gt;=14/24,B$9&lt;20/24)</formula>
    </cfRule>
    <cfRule type="expression" dxfId="1754" priority="36">
      <formula>AND(B$9&gt;=8/24,B$9&lt;14/24)</formula>
    </cfRule>
    <cfRule type="expression" dxfId="1753" priority="37">
      <formula>B$9&lt;8/24</formula>
    </cfRule>
  </conditionalFormatting>
  <conditionalFormatting sqref="B9:AF45">
    <cfRule type="expression" dxfId="1752" priority="23">
      <formula>B$9&gt;=20/24</formula>
    </cfRule>
    <cfRule type="expression" dxfId="1751" priority="24">
      <formula>AND(B$9&gt;=14/24,B$9&lt;20/24)</formula>
    </cfRule>
    <cfRule type="expression" dxfId="1750" priority="25">
      <formula>AND(B$9&gt;=8/24,B$9&lt;14/24)</formula>
    </cfRule>
    <cfRule type="expression" dxfId="1749" priority="26">
      <formula>B$9&lt;8/24</formula>
    </cfRule>
  </conditionalFormatting>
  <conditionalFormatting sqref="B11:AF46">
    <cfRule type="expression" dxfId="1748" priority="22">
      <formula>B11&gt;$AG11</formula>
    </cfRule>
  </conditionalFormatting>
  <conditionalFormatting sqref="B46:AF46">
    <cfRule type="expression" dxfId="1747" priority="18">
      <formula>B$9&gt;=20/24</formula>
    </cfRule>
    <cfRule type="expression" dxfId="1746" priority="19">
      <formula>AND(B$9&gt;=14/24,B$9&lt;20/24)</formula>
    </cfRule>
    <cfRule type="expression" dxfId="1745" priority="20">
      <formula>AND(B$9&gt;=8/24,B$9&lt;14/24)</formula>
    </cfRule>
    <cfRule type="expression" dxfId="1744" priority="21">
      <formula>B$9&lt;8/24</formula>
    </cfRule>
  </conditionalFormatting>
  <conditionalFormatting sqref="B47:AF47">
    <cfRule type="expression" dxfId="1743" priority="32">
      <formula>B47&gt;$AG47</formula>
    </cfRule>
  </conditionalFormatting>
  <conditionalFormatting sqref="B47:AF49">
    <cfRule type="expression" dxfId="1742" priority="28">
      <formula>B$9&gt;=20/24</formula>
    </cfRule>
    <cfRule type="expression" dxfId="1741" priority="29">
      <formula>AND(B$9&gt;=14/24,B$9&lt;20/24)</formula>
    </cfRule>
    <cfRule type="expression" dxfId="1740" priority="30">
      <formula>AND(B$9&gt;=8/24,B$9&lt;14/24)</formula>
    </cfRule>
    <cfRule type="expression" dxfId="1739" priority="31">
      <formula>B$9&lt;8/24</formula>
    </cfRule>
  </conditionalFormatting>
  <conditionalFormatting sqref="B48:AF53">
    <cfRule type="expression" dxfId="1738" priority="27">
      <formula>B48&gt;$AG48</formula>
    </cfRule>
  </conditionalFormatting>
  <conditionalFormatting sqref="B51:AF53">
    <cfRule type="expression" dxfId="1737" priority="47">
      <formula>B$9&gt;=20/24</formula>
    </cfRule>
    <cfRule type="expression" dxfId="1736" priority="48">
      <formula>AND(B$9&gt;=14/24,B$9&lt;20/24)</formula>
    </cfRule>
    <cfRule type="expression" dxfId="1735" priority="49">
      <formula>AND(B$9&gt;=8/24,B$9&lt;14/24)</formula>
    </cfRule>
    <cfRule type="expression" dxfId="1734" priority="50">
      <formula>B$9&lt;8/24</formula>
    </cfRule>
  </conditionalFormatting>
  <conditionalFormatting sqref="B69:AF71">
    <cfRule type="expression" dxfId="1733" priority="55">
      <formula>B69&gt;$AG69</formula>
    </cfRule>
    <cfRule type="expression" dxfId="1732" priority="56">
      <formula>B$9&gt;=20/24</formula>
    </cfRule>
    <cfRule type="expression" dxfId="1731" priority="57">
      <formula>AND(B$9&gt;=14/24,B$9&lt;20/24)</formula>
    </cfRule>
    <cfRule type="expression" dxfId="1730" priority="58">
      <formula>AND(B$9&gt;=8/24,B$9&lt;14/24)</formula>
    </cfRule>
    <cfRule type="expression" dxfId="1729" priority="59">
      <formula>B$9&lt;8/24</formula>
    </cfRule>
  </conditionalFormatting>
  <conditionalFormatting sqref="B73:AF91">
    <cfRule type="expression" dxfId="1728" priority="1">
      <formula>B$9&gt;=20/24</formula>
    </cfRule>
    <cfRule type="expression" dxfId="1727" priority="2">
      <formula>AND(B$9&gt;=14/24,B$9&lt;20/24)</formula>
    </cfRule>
    <cfRule type="expression" dxfId="1726" priority="3">
      <formula>AND(B$9&gt;=8/24,B$9&lt;14/24)</formula>
    </cfRule>
    <cfRule type="expression" dxfId="1725" priority="4">
      <formula>B$9&lt;8/24</formula>
    </cfRule>
  </conditionalFormatting>
  <conditionalFormatting sqref="B111:AF120">
    <cfRule type="expression" dxfId="1724" priority="14">
      <formula>B$9&gt;=20/24</formula>
    </cfRule>
    <cfRule type="expression" dxfId="1723" priority="15">
      <formula>AND(B$9&gt;=14/24,B$9&lt;20/24)</formula>
    </cfRule>
    <cfRule type="expression" dxfId="1722" priority="16">
      <formula>AND(B$9&gt;=8/24,B$9&lt;14/24)</formula>
    </cfRule>
    <cfRule type="expression" dxfId="1721" priority="17">
      <formula>B$9&lt;8/24</formula>
    </cfRule>
  </conditionalFormatting>
  <conditionalFormatting sqref="D229:AF230 B229:B235 D231:H231 J231:AF231 D232:AF235 U248:AF248 B227:AF227">
    <cfRule type="expression" dxfId="1720" priority="108">
      <formula>B$9&gt;=20/24</formula>
    </cfRule>
    <cfRule type="expression" dxfId="1719" priority="109">
      <formula>AND(B$9&gt;=14/24,B$9&lt;20/24)</formula>
    </cfRule>
    <cfRule type="expression" dxfId="1718" priority="110">
      <formula>AND(B$9&gt;=8/24,B$9&lt;14/24)</formula>
    </cfRule>
    <cfRule type="expression" dxfId="1717" priority="111">
      <formula>B$9&lt;8/24</formula>
    </cfRule>
  </conditionalFormatting>
  <conditionalFormatting sqref="B67:AG68 B72:AG72">
    <cfRule type="expression" dxfId="1716" priority="42">
      <formula>B67&gt;$AG67</formula>
    </cfRule>
  </conditionalFormatting>
  <conditionalFormatting sqref="B72:AG72 B93:AF109">
    <cfRule type="expression" dxfId="1715" priority="43">
      <formula>B$9&gt;=20/24</formula>
    </cfRule>
    <cfRule type="expression" dxfId="1714" priority="44">
      <formula>AND(B$9&gt;=14/24,B$9&lt;20/24)</formula>
    </cfRule>
    <cfRule type="expression" dxfId="1713" priority="45">
      <formula>AND(B$9&gt;=8/24,B$9&lt;14/24)</formula>
    </cfRule>
    <cfRule type="expression" dxfId="1712" priority="46">
      <formula>B$9&lt;8/24</formula>
    </cfRule>
  </conditionalFormatting>
  <conditionalFormatting sqref="D55:V57 E58:V66 W55:AF66">
    <cfRule type="expression" dxfId="1711" priority="5">
      <formula>D55&gt;$AG55</formula>
    </cfRule>
  </conditionalFormatting>
  <conditionalFormatting sqref="D54:AG54">
    <cfRule type="expression" dxfId="1710" priority="76">
      <formula>D54&gt;$AG54</formula>
    </cfRule>
    <cfRule type="expression" dxfId="1709" priority="77">
      <formula>D$9&gt;=20/24</formula>
    </cfRule>
    <cfRule type="expression" dxfId="1708" priority="78">
      <formula>AND(D$9&gt;=14/24,D$9&lt;20/24)</formula>
    </cfRule>
    <cfRule type="expression" dxfId="1707" priority="79">
      <formula>AND(D$9&gt;=8/24,D$9&lt;14/24)</formula>
    </cfRule>
    <cfRule type="expression" dxfId="1706" priority="80">
      <formula>D$9&lt;8/24</formula>
    </cfRule>
  </conditionalFormatting>
  <conditionalFormatting sqref="E55:L57">
    <cfRule type="expression" dxfId="1705" priority="89">
      <formula>E$9&gt;=20/24</formula>
    </cfRule>
    <cfRule type="expression" dxfId="1704" priority="90">
      <formula>AND(E$9&gt;=14/24,E$9&lt;20/24)</formula>
    </cfRule>
    <cfRule type="expression" dxfId="1703" priority="91">
      <formula>AND(E$9&gt;=8/24,E$9&lt;14/24)</formula>
    </cfRule>
    <cfRule type="expression" dxfId="1702" priority="92">
      <formula>E$9&lt;8/24</formula>
    </cfRule>
  </conditionalFormatting>
  <conditionalFormatting sqref="M55:X59">
    <cfRule type="expression" dxfId="1701" priority="93">
      <formula>M$9&gt;=20/24</formula>
    </cfRule>
    <cfRule type="expression" dxfId="1700" priority="94">
      <formula>AND(M$9&gt;=14/24,M$9&lt;20/24)</formula>
    </cfRule>
    <cfRule type="expression" dxfId="1699" priority="95">
      <formula>AND(M$9&gt;=8/24,M$9&lt;14/24)</formula>
    </cfRule>
    <cfRule type="expression" dxfId="1698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697" priority="114">
      <formula>C$9&gt;=20/24</formula>
    </cfRule>
  </conditionalFormatting>
  <conditionalFormatting sqref="S8">
    <cfRule type="expression" dxfId="1696" priority="101">
      <formula>U$9&gt;=20/24</formula>
    </cfRule>
    <cfRule type="expression" dxfId="1695" priority="102">
      <formula>AND(U$9&gt;=14/24,U$9&lt;20/24)</formula>
    </cfRule>
    <cfRule type="expression" dxfId="1694" priority="103">
      <formula>AND(U$9&gt;=8/24,U$9&lt;14/24)</formula>
    </cfRule>
    <cfRule type="expression" dxfId="1693" priority="104">
      <formula>U$9&lt;8/24</formula>
    </cfRule>
  </conditionalFormatting>
  <conditionalFormatting sqref="Y55:AF60">
    <cfRule type="expression" dxfId="1692" priority="10">
      <formula>Y$9&gt;=20/24</formula>
    </cfRule>
    <cfRule type="expression" dxfId="1691" priority="11">
      <formula>AND(Y$9&gt;=14/24,Y$9&lt;20/24)</formula>
    </cfRule>
    <cfRule type="expression" dxfId="1690" priority="12">
      <formula>AND(Y$9&gt;=8/24,Y$9&lt;14/24)</formula>
    </cfRule>
    <cfRule type="expression" dxfId="1689" priority="13">
      <formula>Y$9&lt;8/24</formula>
    </cfRule>
  </conditionalFormatting>
  <conditionalFormatting sqref="T248">
    <cfRule type="expression" dxfId="1688" priority="126">
      <formula>AX$9&gt;=20/24</formula>
    </cfRule>
    <cfRule type="expression" dxfId="1687" priority="127">
      <formula>AND(AX$9&gt;=14/24,AX$9&lt;20/24)</formula>
    </cfRule>
    <cfRule type="expression" dxfId="1686" priority="128">
      <formula>AND(AX$9&gt;=8/24,AX$9&lt;14/24)</formula>
    </cfRule>
    <cfRule type="expression" dxfId="1685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684" priority="97">
      <formula>AD$9&gt;=20/24</formula>
    </cfRule>
    <cfRule type="expression" dxfId="1683" priority="98">
      <formula>AND(AD$9&gt;=14/24,AD$9&lt;20/24)</formula>
    </cfRule>
    <cfRule type="expression" dxfId="1682" priority="99">
      <formula>AND(AD$9&gt;=8/24,AD$9&lt;14/24)</formula>
    </cfRule>
    <cfRule type="expression" dxfId="1681" priority="100">
      <formula>AD$9&lt;8/24</formula>
    </cfRule>
  </conditionalFormatting>
  <conditionalFormatting sqref="AE61:AF66">
    <cfRule type="expression" dxfId="1680" priority="6">
      <formula>AE$9&gt;=20/24</formula>
    </cfRule>
    <cfRule type="expression" dxfId="1679" priority="7">
      <formula>AND(AE$9&gt;=14/24,AE$9&lt;20/24)</formula>
    </cfRule>
    <cfRule type="expression" dxfId="1678" priority="8">
      <formula>AND(AE$9&gt;=8/24,AE$9&lt;14/24)</formula>
    </cfRule>
    <cfRule type="expression" dxfId="1677" priority="9">
      <formula>AE$9&lt;8/24</formula>
    </cfRule>
  </conditionalFormatting>
  <conditionalFormatting sqref="AG50">
    <cfRule type="expression" dxfId="1676" priority="84">
      <formula>AG50&gt;$AG50</formula>
    </cfRule>
  </conditionalFormatting>
  <conditionalFormatting sqref="AG89">
    <cfRule type="expression" dxfId="1675" priority="85">
      <formula>AG$9&gt;=20/24</formula>
    </cfRule>
    <cfRule type="expression" dxfId="1674" priority="86">
      <formula>AND(AG$9&gt;=14/24,AG$9&lt;20/24)</formula>
    </cfRule>
    <cfRule type="expression" dxfId="1673" priority="87">
      <formula>AND(AG$9&gt;=8/24,AG$9&lt;14/24)</formula>
    </cfRule>
    <cfRule type="expression" dxfId="1672" priority="88">
      <formula>AG$9&lt;8/24</formula>
    </cfRule>
  </conditionalFormatting>
  <conditionalFormatting sqref="AG248">
    <cfRule type="expression" dxfId="1671" priority="118">
      <formula>B$9&gt;=20/24</formula>
    </cfRule>
    <cfRule type="expression" dxfId="1670" priority="119">
      <formula>AND(B$9&gt;=14/24,B$9&lt;20/24)</formula>
    </cfRule>
    <cfRule type="expression" dxfId="1669" priority="120">
      <formula>AND(B$9&gt;=8/24,B$9&lt;14/24)</formula>
    </cfRule>
    <cfRule type="expression" dxfId="1668" priority="121">
      <formula>B$9&lt;8/24</formula>
    </cfRule>
  </conditionalFormatting>
  <conditionalFormatting sqref="AH248:AX248">
    <cfRule type="expression" dxfId="1667" priority="122">
      <formula>AG$9&gt;=20/24</formula>
    </cfRule>
    <cfRule type="expression" dxfId="1666" priority="123">
      <formula>AND(AG$9&gt;=14/24,AG$9&lt;20/24)</formula>
    </cfRule>
    <cfRule type="expression" dxfId="1665" priority="124">
      <formula>AND(AG$9&gt;=8/24,AG$9&lt;14/24)</formula>
    </cfRule>
    <cfRule type="expression" dxfId="1664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663" priority="131">
      <formula>AJ$9&gt;=20/24</formula>
    </cfRule>
    <cfRule type="expression" dxfId="1662" priority="132">
      <formula>AND(AJ$9&gt;=14/24,AJ$9&lt;20/24)</formula>
    </cfRule>
    <cfRule type="expression" dxfId="1661" priority="133">
      <formula>AND(AJ$9&gt;=8/24,AJ$9&lt;14/24)</formula>
    </cfRule>
    <cfRule type="expression" dxfId="1660" priority="134">
      <formula>AJ$9&lt;8/24</formula>
    </cfRule>
  </conditionalFormatting>
  <conditionalFormatting sqref="AL80:AN80 AL86:AN86">
    <cfRule type="expression" dxfId="1659" priority="72">
      <formula>AL$9&gt;=20/24</formula>
    </cfRule>
    <cfRule type="expression" dxfId="1658" priority="73">
      <formula>AND(AL$9&gt;=14/24,AL$9&lt;20/24)</formula>
    </cfRule>
    <cfRule type="expression" dxfId="1657" priority="74">
      <formula>AND(AL$9&gt;=8/24,AL$9&lt;14/24)</formula>
    </cfRule>
    <cfRule type="expression" dxfId="1656" priority="75">
      <formula>AL$9&lt;8/24</formula>
    </cfRule>
  </conditionalFormatting>
  <conditionalFormatting sqref="AN81:AN84">
    <cfRule type="expression" dxfId="1655" priority="68">
      <formula>AN$9&gt;=20/24</formula>
    </cfRule>
    <cfRule type="expression" dxfId="1654" priority="69">
      <formula>AND(AN$9&gt;=14/24,AN$9&lt;20/24)</formula>
    </cfRule>
    <cfRule type="expression" dxfId="1653" priority="70">
      <formula>AND(AN$9&gt;=8/24,AN$9&lt;14/24)</formula>
    </cfRule>
    <cfRule type="expression" dxfId="1652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B42F-4AD2-471E-BED6-D434A297E89C}">
  <sheetPr codeName="Sheet43"/>
  <dimension ref="A1:CJ281"/>
  <sheetViews>
    <sheetView zoomScaleNormal="100" workbookViewId="0">
      <pane xSplit="1" ySplit="10" topLeftCell="B72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B75" sqref="B75:W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7.85546875" style="1" customWidth="1"/>
    <col min="12" max="12" width="8" style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2080/06/19</v>
      </c>
      <c r="C4" s="201"/>
      <c r="D4" s="201"/>
      <c r="E4" s="202" t="str">
        <f ca="1">"2080/"&amp;"06/"&amp;INT(MID(CELL("filename",G6),FIND("]",CELL("filename",G6))+1,200))</f>
        <v>2080/06/19</v>
      </c>
      <c r="F4" s="202"/>
      <c r="G4" s="202"/>
      <c r="H4" s="202" t="str">
        <f ca="1">TEXT(E4,"dddd")</f>
        <v>Wednesday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2127MW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Load=1980</v>
      </c>
      <c r="B7" s="35">
        <f t="shared" ref="B7:AF7" si="1">B91</f>
        <v>2043.64</v>
      </c>
      <c r="C7" s="35">
        <f t="shared" si="1"/>
        <v>2043.64</v>
      </c>
      <c r="D7" s="35">
        <f t="shared" si="1"/>
        <v>2026.64</v>
      </c>
      <c r="E7" s="35">
        <f t="shared" si="1"/>
        <v>1988.3400000000001</v>
      </c>
      <c r="F7" s="35">
        <f t="shared" si="1"/>
        <v>1988.3400000000001</v>
      </c>
      <c r="G7" s="35">
        <f t="shared" si="1"/>
        <v>1980.3400000000001</v>
      </c>
      <c r="H7" s="35">
        <f t="shared" si="1"/>
        <v>1988.3400000000001</v>
      </c>
      <c r="I7" s="35">
        <f t="shared" si="1"/>
        <v>2002.3400000000001</v>
      </c>
      <c r="J7" s="35">
        <f t="shared" si="1"/>
        <v>2034.3400000000001</v>
      </c>
      <c r="K7" s="35">
        <f t="shared" si="1"/>
        <v>2091.34</v>
      </c>
      <c r="L7" s="35">
        <f t="shared" si="1"/>
        <v>2127.34</v>
      </c>
      <c r="M7" s="35">
        <f t="shared" si="1"/>
        <v>2124.64</v>
      </c>
      <c r="N7" s="35">
        <f>N91</f>
        <v>2110.2399999999998</v>
      </c>
      <c r="O7" s="35">
        <f t="shared" si="1"/>
        <v>2098.34</v>
      </c>
      <c r="P7" s="35">
        <f t="shared" si="1"/>
        <v>2112.64</v>
      </c>
      <c r="Q7" s="35">
        <f t="shared" si="1"/>
        <v>2102.94</v>
      </c>
      <c r="R7" s="35">
        <f t="shared" si="1"/>
        <v>2074.04</v>
      </c>
      <c r="S7" s="35">
        <f t="shared" si="1"/>
        <v>2065.34</v>
      </c>
      <c r="T7" s="35">
        <f t="shared" si="1"/>
        <v>2136.2400000000002</v>
      </c>
      <c r="U7" s="35">
        <f t="shared" si="1"/>
        <v>2080.44</v>
      </c>
      <c r="V7" s="35">
        <f t="shared" si="1"/>
        <v>2109.64</v>
      </c>
      <c r="W7" s="35">
        <f t="shared" si="1"/>
        <v>2115.14</v>
      </c>
      <c r="X7" s="35">
        <f t="shared" si="1"/>
        <v>2184.1400000000003</v>
      </c>
      <c r="Y7" s="35">
        <f t="shared" si="1"/>
        <v>2216.2399999999998</v>
      </c>
      <c r="Z7" s="35">
        <f t="shared" si="1"/>
        <v>2189.44</v>
      </c>
      <c r="AA7" s="35">
        <f t="shared" si="1"/>
        <v>2176.1400000000003</v>
      </c>
      <c r="AB7" s="35">
        <f t="shared" si="1"/>
        <v>2168.14</v>
      </c>
      <c r="AC7" s="35">
        <f t="shared" si="1"/>
        <v>2163.84</v>
      </c>
      <c r="AD7" s="35">
        <f t="shared" si="1"/>
        <v>2110.84</v>
      </c>
      <c r="AE7" s="35">
        <f t="shared" si="1"/>
        <v>2095.2400000000002</v>
      </c>
      <c r="AF7" s="35">
        <f t="shared" si="1"/>
        <v>2079.94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90.1</v>
      </c>
      <c r="C11" s="45">
        <v>90.1</v>
      </c>
      <c r="D11" s="45">
        <v>90.1</v>
      </c>
      <c r="E11" s="45">
        <v>90.1</v>
      </c>
      <c r="F11" s="45">
        <v>90.1</v>
      </c>
      <c r="G11" s="45">
        <v>90.1</v>
      </c>
      <c r="H11" s="45">
        <v>90.1</v>
      </c>
      <c r="I11" s="45">
        <v>90.1</v>
      </c>
      <c r="J11" s="45">
        <v>90.1</v>
      </c>
      <c r="K11" s="45">
        <v>90.1</v>
      </c>
      <c r="L11" s="45">
        <v>90.1</v>
      </c>
      <c r="M11" s="45">
        <v>90.2</v>
      </c>
      <c r="N11" s="45">
        <v>90.2</v>
      </c>
      <c r="O11" s="45">
        <v>90.2</v>
      </c>
      <c r="P11" s="45">
        <v>90.2</v>
      </c>
      <c r="Q11" s="45">
        <v>90.2</v>
      </c>
      <c r="R11" s="45">
        <v>90.4</v>
      </c>
      <c r="S11" s="45">
        <v>90.4</v>
      </c>
      <c r="T11" s="45">
        <v>90.4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>
        <v>86</v>
      </c>
      <c r="AB11" s="45">
        <v>86</v>
      </c>
      <c r="AC11" s="45">
        <v>90.4</v>
      </c>
      <c r="AD11" s="45">
        <v>90.4</v>
      </c>
      <c r="AE11" s="45">
        <v>90.4</v>
      </c>
      <c r="AF11" s="45">
        <v>90.4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86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8</v>
      </c>
      <c r="C12" s="45">
        <v>8</v>
      </c>
      <c r="D12" s="45">
        <v>8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0</v>
      </c>
      <c r="Q12" s="45">
        <v>0</v>
      </c>
      <c r="R12" s="45">
        <v>9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>
        <v>54.3</v>
      </c>
      <c r="G13" s="45">
        <v>54.3</v>
      </c>
      <c r="H13" s="45">
        <v>54.3</v>
      </c>
      <c r="I13" s="45">
        <v>54.3</v>
      </c>
      <c r="J13" s="45">
        <v>54.3</v>
      </c>
      <c r="K13" s="45">
        <v>54.3</v>
      </c>
      <c r="L13" s="45">
        <v>54.3</v>
      </c>
      <c r="M13" s="45">
        <v>54.1</v>
      </c>
      <c r="N13" s="45">
        <v>54.1</v>
      </c>
      <c r="O13" s="45">
        <v>54.1</v>
      </c>
      <c r="P13" s="45">
        <v>54.1</v>
      </c>
      <c r="Q13" s="45">
        <v>54.1</v>
      </c>
      <c r="R13" s="45">
        <v>54.2</v>
      </c>
      <c r="S13" s="45">
        <v>54.2</v>
      </c>
      <c r="T13" s="45">
        <v>54.2</v>
      </c>
      <c r="U13" s="45">
        <v>54.2</v>
      </c>
      <c r="V13" s="45">
        <v>54.2</v>
      </c>
      <c r="W13" s="45">
        <v>54.2</v>
      </c>
      <c r="X13" s="45">
        <v>54.2</v>
      </c>
      <c r="Y13" s="45">
        <v>54.2</v>
      </c>
      <c r="Z13" s="45">
        <v>54.2</v>
      </c>
      <c r="AA13" s="45">
        <v>54.2</v>
      </c>
      <c r="AB13" s="45">
        <v>54.2</v>
      </c>
      <c r="AC13" s="45">
        <v>54.2</v>
      </c>
      <c r="AD13" s="45">
        <v>54.2</v>
      </c>
      <c r="AE13" s="45">
        <v>54.2</v>
      </c>
      <c r="AF13" s="45">
        <v>54.2</v>
      </c>
      <c r="AG13" s="46">
        <v>52.4</v>
      </c>
      <c r="AH13" s="47">
        <f t="shared" si="2"/>
        <v>54.3</v>
      </c>
      <c r="AI13" s="48">
        <f t="shared" si="3"/>
        <v>54.1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50.5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50.5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58">
        <v>50.5</v>
      </c>
      <c r="AB14" s="58">
        <v>50.5</v>
      </c>
      <c r="AC14" s="58">
        <v>50.5</v>
      </c>
      <c r="AD14" s="58">
        <v>50.5</v>
      </c>
      <c r="AE14" s="58">
        <v>50.5</v>
      </c>
      <c r="AF14" s="58">
        <v>50.5</v>
      </c>
      <c r="AG14" s="49">
        <v>50</v>
      </c>
      <c r="AH14" s="47">
        <f t="shared" si="2"/>
        <v>50.5</v>
      </c>
      <c r="AI14" s="48">
        <f t="shared" si="3"/>
        <v>50.5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46.3</v>
      </c>
      <c r="C15" s="45">
        <v>46.3</v>
      </c>
      <c r="D15" s="45">
        <v>46.3</v>
      </c>
      <c r="E15" s="45">
        <v>37</v>
      </c>
      <c r="F15" s="45">
        <v>37</v>
      </c>
      <c r="G15" s="45">
        <v>37</v>
      </c>
      <c r="H15" s="45">
        <v>37</v>
      </c>
      <c r="I15" s="45">
        <v>37</v>
      </c>
      <c r="J15" s="45">
        <v>45</v>
      </c>
      <c r="K15" s="45">
        <v>45</v>
      </c>
      <c r="L15" s="45">
        <v>45</v>
      </c>
      <c r="M15" s="45">
        <v>46.3</v>
      </c>
      <c r="N15" s="45">
        <v>46.3</v>
      </c>
      <c r="O15" s="45">
        <v>46.3</v>
      </c>
      <c r="P15" s="45">
        <v>46.3</v>
      </c>
      <c r="Q15" s="45">
        <v>46.3</v>
      </c>
      <c r="R15" s="45">
        <v>46.3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46.3</v>
      </c>
      <c r="AF15" s="45">
        <v>46.3</v>
      </c>
      <c r="AG15" s="49">
        <v>45</v>
      </c>
      <c r="AH15" s="47">
        <f t="shared" si="2"/>
        <v>46.3</v>
      </c>
      <c r="AI15" s="48">
        <f t="shared" si="3"/>
        <v>37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27</v>
      </c>
      <c r="C17" s="45">
        <v>27</v>
      </c>
      <c r="D17" s="45">
        <v>27</v>
      </c>
      <c r="E17" s="45">
        <v>27</v>
      </c>
      <c r="F17" s="45">
        <v>27</v>
      </c>
      <c r="G17" s="45">
        <v>27</v>
      </c>
      <c r="H17" s="45">
        <v>27</v>
      </c>
      <c r="I17" s="45">
        <v>27</v>
      </c>
      <c r="J17" s="45">
        <v>35</v>
      </c>
      <c r="K17" s="45">
        <v>35</v>
      </c>
      <c r="L17" s="45">
        <v>35</v>
      </c>
      <c r="M17" s="45">
        <v>29</v>
      </c>
      <c r="N17" s="45">
        <v>29</v>
      </c>
      <c r="O17" s="45">
        <v>29</v>
      </c>
      <c r="P17" s="45">
        <v>29</v>
      </c>
      <c r="Q17" s="45">
        <v>29</v>
      </c>
      <c r="R17" s="45">
        <v>29</v>
      </c>
      <c r="S17" s="45">
        <v>29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35</v>
      </c>
      <c r="AI17" s="48">
        <f t="shared" si="3"/>
        <v>27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0</v>
      </c>
      <c r="P19" s="45">
        <v>0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</v>
      </c>
      <c r="C20" s="45">
        <v>5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5</v>
      </c>
      <c r="J20" s="45">
        <v>15</v>
      </c>
      <c r="K20" s="45">
        <v>21</v>
      </c>
      <c r="L20" s="45">
        <v>25</v>
      </c>
      <c r="M20" s="45">
        <v>20.399999999999999</v>
      </c>
      <c r="N20" s="45">
        <v>24</v>
      </c>
      <c r="O20" s="45">
        <v>24</v>
      </c>
      <c r="P20" s="45">
        <v>30</v>
      </c>
      <c r="Q20" s="45">
        <v>15</v>
      </c>
      <c r="R20" s="45">
        <v>10.199999999999999</v>
      </c>
      <c r="S20" s="45">
        <v>10.199999999999999</v>
      </c>
      <c r="T20" s="45">
        <v>30</v>
      </c>
      <c r="U20" s="45">
        <v>15</v>
      </c>
      <c r="V20" s="45">
        <v>15</v>
      </c>
      <c r="W20" s="45">
        <v>15</v>
      </c>
      <c r="X20" s="45">
        <v>30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15</v>
      </c>
      <c r="AE20" s="45">
        <v>15</v>
      </c>
      <c r="AF20" s="45">
        <v>15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</v>
      </c>
      <c r="C21" s="45">
        <v>33</v>
      </c>
      <c r="D21" s="45">
        <v>33</v>
      </c>
      <c r="E21" s="45">
        <v>33</v>
      </c>
      <c r="F21" s="45">
        <v>33</v>
      </c>
      <c r="G21" s="45">
        <v>33</v>
      </c>
      <c r="H21" s="45">
        <v>33</v>
      </c>
      <c r="I21" s="45">
        <v>33</v>
      </c>
      <c r="J21" s="45">
        <v>33</v>
      </c>
      <c r="K21" s="45">
        <v>33</v>
      </c>
      <c r="L21" s="45">
        <v>33</v>
      </c>
      <c r="M21" s="45">
        <v>33</v>
      </c>
      <c r="N21" s="45">
        <v>33</v>
      </c>
      <c r="O21" s="45">
        <v>33</v>
      </c>
      <c r="P21" s="45">
        <v>33</v>
      </c>
      <c r="Q21" s="45">
        <v>33</v>
      </c>
      <c r="R21" s="45">
        <v>32.9</v>
      </c>
      <c r="S21" s="45">
        <v>32.9</v>
      </c>
      <c r="T21" s="45">
        <v>32.9</v>
      </c>
      <c r="U21" s="45">
        <v>32.9</v>
      </c>
      <c r="V21" s="45">
        <v>32.9</v>
      </c>
      <c r="W21" s="45">
        <v>32.9</v>
      </c>
      <c r="X21" s="45">
        <v>32.9</v>
      </c>
      <c r="Y21" s="45">
        <v>32.9</v>
      </c>
      <c r="Z21" s="45">
        <v>32.9</v>
      </c>
      <c r="AA21" s="45">
        <v>32.9</v>
      </c>
      <c r="AB21" s="45">
        <v>32.9</v>
      </c>
      <c r="AC21" s="45">
        <v>32.9</v>
      </c>
      <c r="AD21" s="45">
        <v>32.9</v>
      </c>
      <c r="AE21" s="45">
        <v>32.9</v>
      </c>
      <c r="AF21" s="45">
        <v>32.9</v>
      </c>
      <c r="AG21" s="49">
        <v>24.2</v>
      </c>
      <c r="AH21" s="47">
        <f t="shared" si="2"/>
        <v>33</v>
      </c>
      <c r="AI21" s="48">
        <f t="shared" si="3"/>
        <v>32.9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5</v>
      </c>
      <c r="C23" s="45">
        <v>5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13</v>
      </c>
      <c r="L23" s="45">
        <v>27</v>
      </c>
      <c r="M23" s="45">
        <v>27</v>
      </c>
      <c r="N23" s="45">
        <v>23.4</v>
      </c>
      <c r="O23" s="45">
        <v>23.4</v>
      </c>
      <c r="P23" s="45">
        <v>27</v>
      </c>
      <c r="Q23" s="45">
        <v>13.5</v>
      </c>
      <c r="R23" s="45">
        <v>6.9</v>
      </c>
      <c r="S23" s="45">
        <v>6.9</v>
      </c>
      <c r="T23" s="45">
        <v>27</v>
      </c>
      <c r="U23" s="45">
        <v>13.5</v>
      </c>
      <c r="V23" s="45">
        <v>13.5</v>
      </c>
      <c r="W23" s="45">
        <v>13.5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20</v>
      </c>
      <c r="AD23" s="45">
        <v>13</v>
      </c>
      <c r="AE23" s="45">
        <v>13</v>
      </c>
      <c r="AF23" s="45">
        <v>13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24.3</v>
      </c>
      <c r="C24" s="45">
        <v>24.3</v>
      </c>
      <c r="D24" s="45">
        <v>24.3</v>
      </c>
      <c r="E24" s="45">
        <v>24.3</v>
      </c>
      <c r="F24" s="45">
        <v>24.3</v>
      </c>
      <c r="G24" s="45">
        <v>24.3</v>
      </c>
      <c r="H24" s="45">
        <v>24.3</v>
      </c>
      <c r="I24" s="45">
        <v>24.3</v>
      </c>
      <c r="J24" s="45">
        <v>24.3</v>
      </c>
      <c r="K24" s="45">
        <v>24.3</v>
      </c>
      <c r="L24" s="45">
        <v>24.3</v>
      </c>
      <c r="M24" s="45">
        <v>24.6</v>
      </c>
      <c r="N24" s="45">
        <v>24.6</v>
      </c>
      <c r="O24" s="45">
        <v>24.6</v>
      </c>
      <c r="P24" s="45">
        <v>24.6</v>
      </c>
      <c r="Q24" s="45">
        <v>24.6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24.5</v>
      </c>
      <c r="AG24" s="49">
        <v>25</v>
      </c>
      <c r="AH24" s="47">
        <f t="shared" si="2"/>
        <v>24.6</v>
      </c>
      <c r="AI24" s="48">
        <f t="shared" si="3"/>
        <v>24.3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25</v>
      </c>
      <c r="L27" s="45">
        <v>25</v>
      </c>
      <c r="M27" s="45">
        <v>25</v>
      </c>
      <c r="N27" s="45">
        <v>20</v>
      </c>
      <c r="O27" s="45">
        <v>20</v>
      </c>
      <c r="P27" s="45">
        <v>20</v>
      </c>
      <c r="Q27" s="45">
        <v>12.5</v>
      </c>
      <c r="R27" s="45">
        <v>7</v>
      </c>
      <c r="S27" s="45">
        <v>7</v>
      </c>
      <c r="T27" s="45">
        <v>25</v>
      </c>
      <c r="U27" s="45">
        <v>12.5</v>
      </c>
      <c r="V27" s="45">
        <v>12.5</v>
      </c>
      <c r="W27" s="45">
        <v>12.5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20</v>
      </c>
      <c r="AD27" s="45">
        <v>13</v>
      </c>
      <c r="AE27" s="45">
        <v>13</v>
      </c>
      <c r="AF27" s="45">
        <v>13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25.1</v>
      </c>
      <c r="C28" s="45">
        <v>25.1</v>
      </c>
      <c r="D28" s="45">
        <v>25.1</v>
      </c>
      <c r="E28" s="45">
        <v>25.1</v>
      </c>
      <c r="F28" s="45">
        <v>25.1</v>
      </c>
      <c r="G28" s="45">
        <v>25.1</v>
      </c>
      <c r="H28" s="45">
        <v>25.1</v>
      </c>
      <c r="I28" s="45">
        <v>25.1</v>
      </c>
      <c r="J28" s="45">
        <v>25.1</v>
      </c>
      <c r="K28" s="45">
        <v>25.1</v>
      </c>
      <c r="L28" s="45">
        <v>25.1</v>
      </c>
      <c r="M28" s="45">
        <v>25.3</v>
      </c>
      <c r="N28" s="45">
        <v>25.3</v>
      </c>
      <c r="O28" s="45">
        <v>25.3</v>
      </c>
      <c r="P28" s="45">
        <v>25.3</v>
      </c>
      <c r="Q28" s="45">
        <v>25.3</v>
      </c>
      <c r="R28" s="45">
        <v>25.1</v>
      </c>
      <c r="S28" s="45">
        <v>25.1</v>
      </c>
      <c r="T28" s="45">
        <v>25.1</v>
      </c>
      <c r="U28" s="45">
        <v>25.1</v>
      </c>
      <c r="V28" s="45">
        <v>25.1</v>
      </c>
      <c r="W28" s="45">
        <v>25.1</v>
      </c>
      <c r="X28" s="45">
        <v>25.1</v>
      </c>
      <c r="Y28" s="45">
        <v>25.1</v>
      </c>
      <c r="Z28" s="45">
        <v>25.1</v>
      </c>
      <c r="AA28" s="45">
        <v>25.1</v>
      </c>
      <c r="AB28" s="45">
        <v>25.1</v>
      </c>
      <c r="AC28" s="45">
        <v>25.1</v>
      </c>
      <c r="AD28" s="45">
        <v>25.1</v>
      </c>
      <c r="AE28" s="45">
        <v>25.1</v>
      </c>
      <c r="AF28" s="45">
        <v>25.1</v>
      </c>
      <c r="AG28" s="49">
        <v>23.5</v>
      </c>
      <c r="AH28" s="47">
        <f t="shared" si="2"/>
        <v>25.3</v>
      </c>
      <c r="AI28" s="48">
        <f t="shared" si="3"/>
        <v>25.1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10</v>
      </c>
      <c r="M33" s="45">
        <v>10</v>
      </c>
      <c r="N33" s="45">
        <v>5</v>
      </c>
      <c r="O33" s="45">
        <v>5</v>
      </c>
      <c r="P33" s="45">
        <v>5</v>
      </c>
      <c r="Q33" s="45">
        <v>5</v>
      </c>
      <c r="R33" s="45">
        <v>0</v>
      </c>
      <c r="S33" s="45">
        <v>0</v>
      </c>
      <c r="T33" s="45">
        <v>0</v>
      </c>
      <c r="U33" s="45">
        <v>0</v>
      </c>
      <c r="V33" s="45">
        <v>0</v>
      </c>
      <c r="W33" s="45">
        <v>4</v>
      </c>
      <c r="X33" s="45">
        <v>4</v>
      </c>
      <c r="Y33" s="45">
        <v>4</v>
      </c>
      <c r="Z33" s="45">
        <v>4</v>
      </c>
      <c r="AA33" s="45">
        <v>4</v>
      </c>
      <c r="AB33" s="45">
        <v>4</v>
      </c>
      <c r="AC33" s="45">
        <v>4</v>
      </c>
      <c r="AD33" s="45">
        <v>4</v>
      </c>
      <c r="AE33" s="45">
        <v>4</v>
      </c>
      <c r="AF33" s="45">
        <v>4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2</v>
      </c>
      <c r="C34" s="45">
        <v>2</v>
      </c>
      <c r="D34" s="45">
        <v>2</v>
      </c>
      <c r="E34" s="45">
        <v>2</v>
      </c>
      <c r="F34" s="45">
        <v>2</v>
      </c>
      <c r="G34" s="45">
        <v>2</v>
      </c>
      <c r="H34" s="45">
        <v>2</v>
      </c>
      <c r="I34" s="45">
        <v>2</v>
      </c>
      <c r="J34" s="45">
        <v>2</v>
      </c>
      <c r="K34" s="45">
        <v>2</v>
      </c>
      <c r="L34" s="45">
        <v>10</v>
      </c>
      <c r="M34" s="45">
        <v>7</v>
      </c>
      <c r="N34" s="45">
        <v>4</v>
      </c>
      <c r="O34" s="45">
        <v>4</v>
      </c>
      <c r="P34" s="45">
        <v>4</v>
      </c>
      <c r="Q34" s="45">
        <v>4</v>
      </c>
      <c r="R34" s="45">
        <v>0</v>
      </c>
      <c r="S34" s="45">
        <v>3.5</v>
      </c>
      <c r="T34" s="45">
        <v>3.5</v>
      </c>
      <c r="U34" s="45">
        <v>3.5</v>
      </c>
      <c r="V34" s="45">
        <v>3.5</v>
      </c>
      <c r="W34" s="45">
        <v>5</v>
      </c>
      <c r="X34" s="45">
        <v>5</v>
      </c>
      <c r="Y34" s="45">
        <v>5</v>
      </c>
      <c r="Z34" s="45">
        <v>5</v>
      </c>
      <c r="AA34" s="45">
        <v>3.5</v>
      </c>
      <c r="AB34" s="45">
        <v>3.5</v>
      </c>
      <c r="AC34" s="45">
        <v>3.5</v>
      </c>
      <c r="AD34" s="45">
        <v>3.5</v>
      </c>
      <c r="AE34" s="45">
        <v>3.5</v>
      </c>
      <c r="AF34" s="45">
        <v>3.5</v>
      </c>
      <c r="AG34" s="49">
        <v>18</v>
      </c>
      <c r="AH34" s="47">
        <f t="shared" si="2"/>
        <v>10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7</v>
      </c>
      <c r="C37" s="45">
        <v>7</v>
      </c>
      <c r="D37" s="45">
        <v>7</v>
      </c>
      <c r="E37" s="45">
        <v>7</v>
      </c>
      <c r="F37" s="45">
        <v>7</v>
      </c>
      <c r="G37" s="45">
        <v>7</v>
      </c>
      <c r="H37" s="45">
        <v>7</v>
      </c>
      <c r="I37" s="45">
        <v>7</v>
      </c>
      <c r="J37" s="45">
        <v>7</v>
      </c>
      <c r="K37" s="45">
        <v>7</v>
      </c>
      <c r="L37" s="45">
        <v>7</v>
      </c>
      <c r="M37" s="45">
        <v>7</v>
      </c>
      <c r="N37" s="45">
        <v>7</v>
      </c>
      <c r="O37" s="45">
        <v>7</v>
      </c>
      <c r="P37" s="45">
        <v>7</v>
      </c>
      <c r="Q37" s="45">
        <v>7</v>
      </c>
      <c r="R37" s="45">
        <v>7</v>
      </c>
      <c r="S37" s="45">
        <v>7</v>
      </c>
      <c r="T37" s="45">
        <v>7</v>
      </c>
      <c r="U37" s="45">
        <v>7</v>
      </c>
      <c r="V37" s="45">
        <v>7</v>
      </c>
      <c r="W37" s="45">
        <v>7</v>
      </c>
      <c r="X37" s="45">
        <v>7</v>
      </c>
      <c r="Y37" s="45">
        <v>7</v>
      </c>
      <c r="Z37" s="45">
        <v>7</v>
      </c>
      <c r="AA37" s="45">
        <v>7</v>
      </c>
      <c r="AB37" s="45">
        <v>7</v>
      </c>
      <c r="AC37" s="45">
        <v>7</v>
      </c>
      <c r="AD37" s="45">
        <v>7</v>
      </c>
      <c r="AE37" s="45">
        <v>7</v>
      </c>
      <c r="AF37" s="45">
        <v>7</v>
      </c>
      <c r="AG37" s="49">
        <v>13.6</v>
      </c>
      <c r="AH37" s="47">
        <f t="shared" si="2"/>
        <v>7</v>
      </c>
      <c r="AI37" s="48">
        <f t="shared" si="3"/>
        <v>7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12</v>
      </c>
      <c r="N39" s="45">
        <v>9.6</v>
      </c>
      <c r="O39" s="45">
        <v>9.6</v>
      </c>
      <c r="P39" s="45">
        <v>12</v>
      </c>
      <c r="Q39" s="45">
        <v>6</v>
      </c>
      <c r="R39" s="45">
        <v>3</v>
      </c>
      <c r="S39" s="45">
        <v>3</v>
      </c>
      <c r="T39" s="45">
        <v>12</v>
      </c>
      <c r="U39" s="45">
        <v>6</v>
      </c>
      <c r="V39" s="45">
        <v>6</v>
      </c>
      <c r="W39" s="45">
        <v>6</v>
      </c>
      <c r="X39" s="45">
        <v>12</v>
      </c>
      <c r="Y39" s="45">
        <v>12</v>
      </c>
      <c r="Z39" s="45">
        <v>12</v>
      </c>
      <c r="AA39" s="45">
        <v>12</v>
      </c>
      <c r="AB39" s="45">
        <v>12</v>
      </c>
      <c r="AC39" s="45">
        <v>9</v>
      </c>
      <c r="AD39" s="45">
        <v>6</v>
      </c>
      <c r="AE39" s="45">
        <v>6</v>
      </c>
      <c r="AF39" s="45">
        <v>6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0</v>
      </c>
      <c r="F40" s="45">
        <v>0</v>
      </c>
      <c r="G40" s="45">
        <v>0</v>
      </c>
      <c r="H40" s="45">
        <v>0</v>
      </c>
      <c r="I40" s="45">
        <v>0</v>
      </c>
      <c r="J40" s="45">
        <v>6</v>
      </c>
      <c r="K40" s="45">
        <v>6</v>
      </c>
      <c r="L40" s="45">
        <v>6</v>
      </c>
      <c r="M40" s="45">
        <v>6</v>
      </c>
      <c r="N40" s="45">
        <v>6</v>
      </c>
      <c r="O40" s="45">
        <v>6</v>
      </c>
      <c r="P40" s="45">
        <v>6</v>
      </c>
      <c r="Q40" s="45">
        <v>6</v>
      </c>
      <c r="R40" s="45">
        <v>6</v>
      </c>
      <c r="S40" s="45">
        <v>6</v>
      </c>
      <c r="T40" s="45">
        <v>6</v>
      </c>
      <c r="U40" s="45">
        <v>6</v>
      </c>
      <c r="V40" s="45">
        <v>6</v>
      </c>
      <c r="W40" s="45">
        <v>6</v>
      </c>
      <c r="X40" s="45">
        <v>6</v>
      </c>
      <c r="Y40" s="45">
        <v>6</v>
      </c>
      <c r="Z40" s="45">
        <v>6</v>
      </c>
      <c r="AA40" s="45">
        <v>6</v>
      </c>
      <c r="AB40" s="45">
        <v>6</v>
      </c>
      <c r="AC40" s="45">
        <v>6</v>
      </c>
      <c r="AD40" s="45">
        <v>6</v>
      </c>
      <c r="AE40" s="45">
        <v>6</v>
      </c>
      <c r="AF40" s="45">
        <v>6</v>
      </c>
      <c r="AG40" s="49">
        <v>12</v>
      </c>
      <c r="AH40" s="47">
        <f t="shared" si="2"/>
        <v>12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10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121.8</v>
      </c>
      <c r="C49" s="56">
        <v>121.8</v>
      </c>
      <c r="D49" s="56">
        <v>121.8</v>
      </c>
      <c r="E49" s="56">
        <v>121.8</v>
      </c>
      <c r="F49" s="56">
        <v>121.8</v>
      </c>
      <c r="G49" s="56">
        <v>121.8</v>
      </c>
      <c r="H49" s="56">
        <v>121.8</v>
      </c>
      <c r="I49" s="56">
        <v>121.8</v>
      </c>
      <c r="J49" s="56">
        <v>121.8</v>
      </c>
      <c r="K49" s="56">
        <v>121.8</v>
      </c>
      <c r="L49" s="56">
        <v>121.8</v>
      </c>
      <c r="M49" s="58">
        <f>92+36.2</f>
        <v>128.19999999999999</v>
      </c>
      <c r="N49" s="58">
        <f>89.9+32.4</f>
        <v>122.30000000000001</v>
      </c>
      <c r="O49" s="58">
        <f>93.8+36.8</f>
        <v>130.6</v>
      </c>
      <c r="P49" s="58">
        <f>94.3+37.4</f>
        <v>131.69999999999999</v>
      </c>
      <c r="Q49" s="58">
        <f>94.6+37.3</f>
        <v>131.89999999999998</v>
      </c>
      <c r="R49" s="58">
        <f>37.5+94.4</f>
        <v>131.9</v>
      </c>
      <c r="S49" s="58">
        <f>37.5+94.4</f>
        <v>131.9</v>
      </c>
      <c r="T49" s="58">
        <f>37.5+94.4</f>
        <v>131.9</v>
      </c>
      <c r="U49" s="58">
        <v>130.30000000000001</v>
      </c>
      <c r="V49" s="58">
        <v>130.9</v>
      </c>
      <c r="W49" s="58">
        <v>130</v>
      </c>
      <c r="X49" s="56">
        <v>127.5</v>
      </c>
      <c r="Y49" s="56">
        <v>127.5</v>
      </c>
      <c r="Z49" s="56">
        <v>128</v>
      </c>
      <c r="AA49" s="56">
        <v>128.6</v>
      </c>
      <c r="AB49" s="56">
        <v>128.6</v>
      </c>
      <c r="AC49" s="56">
        <v>128.6</v>
      </c>
      <c r="AD49" s="56">
        <v>128.6</v>
      </c>
      <c r="AE49" s="56">
        <v>128.6</v>
      </c>
      <c r="AF49" s="56">
        <v>128.6</v>
      </c>
      <c r="AG49" s="54">
        <v>240</v>
      </c>
      <c r="AH49" s="47">
        <f t="shared" si="2"/>
        <v>131.9</v>
      </c>
      <c r="AI49" s="48">
        <f t="shared" si="3"/>
        <v>121.8</v>
      </c>
      <c r="AK49" s="50"/>
    </row>
    <row r="50" spans="1:41" ht="15.75" thickBot="1" x14ac:dyDescent="0.3">
      <c r="A50" s="59" t="s">
        <v>58</v>
      </c>
      <c r="B50" s="60">
        <f t="shared" ref="B50:AD50" si="4">SUM(B11:B48)</f>
        <v>1113.2</v>
      </c>
      <c r="C50" s="60">
        <f t="shared" si="4"/>
        <v>1113.2</v>
      </c>
      <c r="D50" s="60">
        <f t="shared" si="4"/>
        <v>1096.2</v>
      </c>
      <c r="E50" s="60">
        <f t="shared" si="4"/>
        <v>1066.9000000000001</v>
      </c>
      <c r="F50" s="60">
        <f t="shared" si="4"/>
        <v>1066.9000000000001</v>
      </c>
      <c r="G50" s="60">
        <f t="shared" si="4"/>
        <v>1066.9000000000001</v>
      </c>
      <c r="H50" s="60">
        <f t="shared" si="4"/>
        <v>1066.9000000000001</v>
      </c>
      <c r="I50" s="60">
        <f t="shared" si="4"/>
        <v>1071.9000000000001</v>
      </c>
      <c r="J50" s="60">
        <f t="shared" si="4"/>
        <v>1103.9000000000001</v>
      </c>
      <c r="K50" s="60">
        <f t="shared" si="4"/>
        <v>1160.9000000000001</v>
      </c>
      <c r="L50" s="60">
        <f t="shared" si="4"/>
        <v>1196.9000000000001</v>
      </c>
      <c r="M50" s="60">
        <f t="shared" si="4"/>
        <v>1196</v>
      </c>
      <c r="N50" s="60">
        <f t="shared" si="4"/>
        <v>1180.5999999999999</v>
      </c>
      <c r="O50" s="60">
        <f t="shared" si="4"/>
        <v>1156.5999999999999</v>
      </c>
      <c r="P50" s="60">
        <f t="shared" si="4"/>
        <v>1155.5999999999999</v>
      </c>
      <c r="Q50" s="60">
        <f t="shared" si="4"/>
        <v>1137.5999999999999</v>
      </c>
      <c r="R50" s="60">
        <f t="shared" si="4"/>
        <v>1117.5999999999999</v>
      </c>
      <c r="S50" s="60">
        <f t="shared" si="4"/>
        <v>1125.0999999999999</v>
      </c>
      <c r="T50" s="60">
        <f t="shared" si="4"/>
        <v>1191</v>
      </c>
      <c r="U50" s="60">
        <f t="shared" si="4"/>
        <v>1144</v>
      </c>
      <c r="V50" s="60">
        <f t="shared" si="4"/>
        <v>1144</v>
      </c>
      <c r="W50" s="60">
        <f t="shared" si="4"/>
        <v>1149.5</v>
      </c>
      <c r="X50" s="60">
        <f t="shared" si="4"/>
        <v>1196.5</v>
      </c>
      <c r="Y50" s="60">
        <f t="shared" si="4"/>
        <v>1196.5</v>
      </c>
      <c r="Z50" s="60">
        <f t="shared" si="4"/>
        <v>1196.5</v>
      </c>
      <c r="AA50" s="60">
        <f t="shared" si="4"/>
        <v>1190.5999999999999</v>
      </c>
      <c r="AB50" s="60">
        <f>SUM(AB11:AB48)</f>
        <v>1190.5999999999999</v>
      </c>
      <c r="AC50" s="60">
        <f t="shared" si="4"/>
        <v>1180</v>
      </c>
      <c r="AD50" s="60">
        <f t="shared" si="4"/>
        <v>1148</v>
      </c>
      <c r="AE50" s="60">
        <f>SUM(AE11:AE48)</f>
        <v>1148</v>
      </c>
      <c r="AF50" s="60">
        <f>SUM(AF11:AF48)</f>
        <v>1148</v>
      </c>
      <c r="AG50" s="61">
        <f>SUM(AG13:AG48)</f>
        <v>922.14</v>
      </c>
      <c r="AH50" s="47">
        <f t="shared" si="2"/>
        <v>1196.9000000000001</v>
      </c>
      <c r="AI50" s="48">
        <f t="shared" si="3"/>
        <v>1066.9000000000001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175">
        <v>456</v>
      </c>
      <c r="S51" s="175">
        <v>456</v>
      </c>
      <c r="T51" s="175">
        <v>456</v>
      </c>
      <c r="U51" s="175">
        <v>456</v>
      </c>
      <c r="V51" s="175">
        <v>456</v>
      </c>
      <c r="W51" s="175">
        <v>456</v>
      </c>
      <c r="X51" s="175">
        <v>456</v>
      </c>
      <c r="Y51" s="175">
        <v>456</v>
      </c>
      <c r="Z51" s="175">
        <v>456</v>
      </c>
      <c r="AA51" s="175">
        <v>456</v>
      </c>
      <c r="AB51" s="175">
        <v>456</v>
      </c>
      <c r="AC51" s="175">
        <v>456</v>
      </c>
      <c r="AD51" s="175">
        <v>456</v>
      </c>
      <c r="AE51" s="175">
        <v>456</v>
      </c>
      <c r="AF51" s="17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5">SUM(B51:B53)</f>
        <v>538.5</v>
      </c>
      <c r="C54" s="60">
        <f t="shared" si="5"/>
        <v>538.5</v>
      </c>
      <c r="D54" s="60">
        <f t="shared" si="5"/>
        <v>538.5</v>
      </c>
      <c r="E54" s="60">
        <f t="shared" si="5"/>
        <v>538.5</v>
      </c>
      <c r="F54" s="60">
        <f t="shared" si="5"/>
        <v>538.5</v>
      </c>
      <c r="G54" s="60">
        <f t="shared" si="5"/>
        <v>538.5</v>
      </c>
      <c r="H54" s="60">
        <f t="shared" si="5"/>
        <v>538.5</v>
      </c>
      <c r="I54" s="60">
        <f t="shared" si="5"/>
        <v>538.5</v>
      </c>
      <c r="J54" s="60">
        <f t="shared" si="5"/>
        <v>538.5</v>
      </c>
      <c r="K54" s="60">
        <f t="shared" si="5"/>
        <v>538.5</v>
      </c>
      <c r="L54" s="60">
        <f t="shared" si="5"/>
        <v>538.5</v>
      </c>
      <c r="M54" s="60">
        <f t="shared" si="5"/>
        <v>538.5</v>
      </c>
      <c r="N54" s="60">
        <f t="shared" si="5"/>
        <v>538.5</v>
      </c>
      <c r="O54" s="60">
        <f t="shared" si="5"/>
        <v>538.5</v>
      </c>
      <c r="P54" s="60">
        <f t="shared" si="5"/>
        <v>538.5</v>
      </c>
      <c r="Q54" s="60">
        <f t="shared" si="5"/>
        <v>538.5</v>
      </c>
      <c r="R54" s="60">
        <f t="shared" si="5"/>
        <v>538.4</v>
      </c>
      <c r="S54" s="60">
        <f t="shared" si="5"/>
        <v>538.4</v>
      </c>
      <c r="T54" s="60">
        <f t="shared" si="5"/>
        <v>538.4</v>
      </c>
      <c r="U54" s="60">
        <f t="shared" si="5"/>
        <v>538.4</v>
      </c>
      <c r="V54" s="60">
        <f t="shared" si="5"/>
        <v>538.4</v>
      </c>
      <c r="W54" s="60">
        <f t="shared" si="5"/>
        <v>538.4</v>
      </c>
      <c r="X54" s="60">
        <f t="shared" si="5"/>
        <v>538.4</v>
      </c>
      <c r="Y54" s="60">
        <f t="shared" si="5"/>
        <v>538.4</v>
      </c>
      <c r="Z54" s="60">
        <f t="shared" si="5"/>
        <v>538.4</v>
      </c>
      <c r="AA54" s="60">
        <f t="shared" si="5"/>
        <v>538.4</v>
      </c>
      <c r="AB54" s="60">
        <f>SUM(AB51:AB53)</f>
        <v>538.4</v>
      </c>
      <c r="AC54" s="60">
        <f t="shared" si="5"/>
        <v>538.4</v>
      </c>
      <c r="AD54" s="60">
        <f t="shared" si="5"/>
        <v>538.4</v>
      </c>
      <c r="AE54" s="60">
        <f>SUM(AE51:AE53)</f>
        <v>538.4</v>
      </c>
      <c r="AF54" s="60">
        <f>SUM(AF51:AF53)</f>
        <v>538.4</v>
      </c>
      <c r="AG54" s="61">
        <f t="shared" si="5"/>
        <v>538.1</v>
      </c>
      <c r="AH54" s="47">
        <f t="shared" si="2"/>
        <v>538.5</v>
      </c>
      <c r="AI54" s="48">
        <f t="shared" si="3"/>
        <v>538.4</v>
      </c>
      <c r="AK54" s="50"/>
    </row>
    <row r="55" spans="1:41" x14ac:dyDescent="0.25">
      <c r="A55" s="44" t="s">
        <v>63</v>
      </c>
      <c r="B55" s="45">
        <v>144</v>
      </c>
      <c r="C55" s="45">
        <v>144</v>
      </c>
      <c r="D55" s="45">
        <v>144</v>
      </c>
      <c r="E55" s="45">
        <v>135</v>
      </c>
      <c r="F55" s="45">
        <v>135</v>
      </c>
      <c r="G55" s="45">
        <v>135</v>
      </c>
      <c r="H55" s="45">
        <v>135</v>
      </c>
      <c r="I55" s="45">
        <v>144</v>
      </c>
      <c r="J55" s="45">
        <v>144</v>
      </c>
      <c r="K55" s="45">
        <v>144</v>
      </c>
      <c r="L55" s="45">
        <v>144</v>
      </c>
      <c r="M55" s="45">
        <v>142.80000000000001</v>
      </c>
      <c r="N55" s="45">
        <v>143.1</v>
      </c>
      <c r="O55" s="45">
        <v>142.9</v>
      </c>
      <c r="P55" s="45">
        <v>142.9</v>
      </c>
      <c r="Q55" s="45">
        <v>143.69999999999999</v>
      </c>
      <c r="R55" s="45">
        <v>143.19999999999999</v>
      </c>
      <c r="S55" s="45">
        <v>143.19999999999999</v>
      </c>
      <c r="T55" s="45">
        <v>143.19999999999999</v>
      </c>
      <c r="U55" s="45">
        <v>143.19999999999999</v>
      </c>
      <c r="V55" s="45">
        <v>143.19999999999999</v>
      </c>
      <c r="W55" s="45">
        <v>143.19999999999999</v>
      </c>
      <c r="X55" s="45">
        <v>144</v>
      </c>
      <c r="Y55" s="45">
        <v>144</v>
      </c>
      <c r="Z55" s="45">
        <v>144</v>
      </c>
      <c r="AA55" s="45">
        <v>144</v>
      </c>
      <c r="AB55" s="45">
        <v>144</v>
      </c>
      <c r="AC55" s="45">
        <v>144</v>
      </c>
      <c r="AD55" s="45">
        <v>144</v>
      </c>
      <c r="AE55" s="45">
        <v>144</v>
      </c>
      <c r="AF55" s="45">
        <v>144</v>
      </c>
      <c r="AG55" s="51">
        <v>144</v>
      </c>
      <c r="AH55" s="47">
        <f t="shared" si="2"/>
        <v>144</v>
      </c>
      <c r="AI55" s="48">
        <f t="shared" si="3"/>
        <v>135</v>
      </c>
      <c r="AK55" s="50"/>
    </row>
    <row r="56" spans="1:41" x14ac:dyDescent="0.25">
      <c r="A56" s="53" t="s">
        <v>64</v>
      </c>
      <c r="B56" s="64">
        <v>68</v>
      </c>
      <c r="C56" s="64">
        <v>68</v>
      </c>
      <c r="D56" s="64">
        <v>68</v>
      </c>
      <c r="E56" s="64">
        <v>68</v>
      </c>
      <c r="F56" s="64">
        <v>68</v>
      </c>
      <c r="G56" s="64">
        <v>60</v>
      </c>
      <c r="H56" s="64">
        <v>68</v>
      </c>
      <c r="I56" s="64">
        <v>68</v>
      </c>
      <c r="J56" s="64">
        <v>68</v>
      </c>
      <c r="K56" s="64">
        <v>68</v>
      </c>
      <c r="L56" s="64">
        <v>68</v>
      </c>
      <c r="M56" s="64">
        <v>69.7</v>
      </c>
      <c r="N56" s="64">
        <v>71</v>
      </c>
      <c r="O56" s="64">
        <v>70.5</v>
      </c>
      <c r="P56" s="64">
        <v>70.5</v>
      </c>
      <c r="Q56" s="64">
        <v>70.5</v>
      </c>
      <c r="R56" s="64">
        <v>68.3</v>
      </c>
      <c r="S56" s="64">
        <v>68.3</v>
      </c>
      <c r="T56" s="64">
        <v>68.3</v>
      </c>
      <c r="U56" s="64">
        <v>54.6</v>
      </c>
      <c r="V56" s="64">
        <v>70.7</v>
      </c>
      <c r="W56" s="64">
        <v>70.7</v>
      </c>
      <c r="X56" s="64">
        <v>70.7</v>
      </c>
      <c r="Y56" s="45">
        <v>70.7</v>
      </c>
      <c r="Z56" s="45">
        <v>70.7</v>
      </c>
      <c r="AA56" s="45">
        <v>70.7</v>
      </c>
      <c r="AB56" s="45">
        <v>68.5</v>
      </c>
      <c r="AC56" s="45">
        <v>68.5</v>
      </c>
      <c r="AD56" s="45">
        <v>68.5</v>
      </c>
      <c r="AE56" s="45">
        <v>68.5</v>
      </c>
      <c r="AF56" s="45">
        <v>60.8</v>
      </c>
      <c r="AG56" s="54">
        <v>70</v>
      </c>
      <c r="AH56" s="47">
        <f t="shared" si="2"/>
        <v>71</v>
      </c>
      <c r="AI56" s="48">
        <f t="shared" si="3"/>
        <v>54.6</v>
      </c>
      <c r="AK56" s="50"/>
    </row>
    <row r="57" spans="1:41" x14ac:dyDescent="0.25">
      <c r="A57" s="53" t="s">
        <v>65</v>
      </c>
      <c r="B57" s="64">
        <v>64.900000000000006</v>
      </c>
      <c r="C57" s="64">
        <v>64.900000000000006</v>
      </c>
      <c r="D57" s="64">
        <v>64.900000000000006</v>
      </c>
      <c r="E57" s="64">
        <v>64.900000000000006</v>
      </c>
      <c r="F57" s="64">
        <v>64.900000000000006</v>
      </c>
      <c r="G57" s="64">
        <v>64.900000000000006</v>
      </c>
      <c r="H57" s="64">
        <v>64.900000000000006</v>
      </c>
      <c r="I57" s="64">
        <v>64.900000000000006</v>
      </c>
      <c r="J57" s="64">
        <v>64.900000000000006</v>
      </c>
      <c r="K57" s="64">
        <v>64.900000000000006</v>
      </c>
      <c r="L57" s="64">
        <v>64.900000000000006</v>
      </c>
      <c r="M57" s="64">
        <v>65.099999999999994</v>
      </c>
      <c r="N57" s="64">
        <v>64.5</v>
      </c>
      <c r="O57" s="64">
        <v>65.2</v>
      </c>
      <c r="P57" s="64">
        <v>65.2</v>
      </c>
      <c r="Q57" s="64">
        <v>65.3</v>
      </c>
      <c r="R57" s="64">
        <v>65.400000000000006</v>
      </c>
      <c r="S57" s="64">
        <v>65.400000000000006</v>
      </c>
      <c r="T57" s="64">
        <v>65.400000000000006</v>
      </c>
      <c r="U57" s="64">
        <v>65.400000000000006</v>
      </c>
      <c r="V57" s="64">
        <v>65.400000000000006</v>
      </c>
      <c r="W57" s="64">
        <v>65.400000000000006</v>
      </c>
      <c r="X57" s="64">
        <v>65.400000000000006</v>
      </c>
      <c r="Y57" s="45">
        <v>65.400000000000006</v>
      </c>
      <c r="Z57" s="45">
        <v>65.400000000000006</v>
      </c>
      <c r="AA57" s="45">
        <v>65.400000000000006</v>
      </c>
      <c r="AB57" s="45">
        <v>64.8</v>
      </c>
      <c r="AC57" s="45">
        <v>64.8</v>
      </c>
      <c r="AD57" s="45">
        <v>64.8</v>
      </c>
      <c r="AE57" s="45">
        <v>65.599999999999994</v>
      </c>
      <c r="AF57" s="45">
        <v>53</v>
      </c>
      <c r="AG57" s="54">
        <v>69</v>
      </c>
      <c r="AH57" s="47">
        <f t="shared" si="2"/>
        <v>65.599999999999994</v>
      </c>
      <c r="AI57" s="48">
        <f t="shared" si="3"/>
        <v>53</v>
      </c>
      <c r="AK57" s="50"/>
    </row>
    <row r="58" spans="1:41" x14ac:dyDescent="0.25">
      <c r="A58" s="53" t="s">
        <v>66</v>
      </c>
      <c r="B58" s="64">
        <v>30.5</v>
      </c>
      <c r="C58" s="64">
        <v>30.5</v>
      </c>
      <c r="D58" s="64">
        <v>30.5</v>
      </c>
      <c r="E58" s="64">
        <v>30.5</v>
      </c>
      <c r="F58" s="64">
        <v>30.5</v>
      </c>
      <c r="G58" s="64">
        <v>30.5</v>
      </c>
      <c r="H58" s="64">
        <v>30.5</v>
      </c>
      <c r="I58" s="64">
        <v>30.5</v>
      </c>
      <c r="J58" s="64">
        <v>30.5</v>
      </c>
      <c r="K58" s="64">
        <v>30.5</v>
      </c>
      <c r="L58" s="64">
        <v>30.5</v>
      </c>
      <c r="M58" s="64">
        <v>29</v>
      </c>
      <c r="N58" s="64">
        <v>29</v>
      </c>
      <c r="O58" s="64">
        <v>29</v>
      </c>
      <c r="P58" s="64">
        <v>29</v>
      </c>
      <c r="Q58" s="64">
        <v>29.7</v>
      </c>
      <c r="R58" s="64">
        <v>30.5</v>
      </c>
      <c r="S58" s="64">
        <v>30.5</v>
      </c>
      <c r="T58" s="64">
        <v>30.5</v>
      </c>
      <c r="U58" s="64">
        <v>42.6</v>
      </c>
      <c r="V58" s="64">
        <v>61.4</v>
      </c>
      <c r="W58" s="64">
        <v>61.4</v>
      </c>
      <c r="X58" s="64">
        <v>61.4</v>
      </c>
      <c r="Y58" s="45">
        <v>61.4</v>
      </c>
      <c r="Z58" s="45">
        <v>61.4</v>
      </c>
      <c r="AA58" s="45">
        <v>61.4</v>
      </c>
      <c r="AB58" s="45">
        <v>61.4</v>
      </c>
      <c r="AC58" s="45">
        <v>61.4</v>
      </c>
      <c r="AD58" s="45">
        <v>61.4</v>
      </c>
      <c r="AE58" s="45">
        <v>45</v>
      </c>
      <c r="AF58" s="45">
        <v>50</v>
      </c>
      <c r="AG58" s="54">
        <v>60</v>
      </c>
      <c r="AH58" s="47">
        <f t="shared" si="2"/>
        <v>61.4</v>
      </c>
      <c r="AI58" s="48">
        <f t="shared" si="3"/>
        <v>29</v>
      </c>
      <c r="AK58" s="50"/>
    </row>
    <row r="59" spans="1:41" x14ac:dyDescent="0.25">
      <c r="A59" s="53" t="s">
        <v>67</v>
      </c>
      <c r="B59" s="64">
        <v>29</v>
      </c>
      <c r="C59" s="64">
        <v>29</v>
      </c>
      <c r="D59" s="64">
        <v>29</v>
      </c>
      <c r="E59" s="64">
        <v>29</v>
      </c>
      <c r="F59" s="64">
        <v>29</v>
      </c>
      <c r="G59" s="64">
        <v>29</v>
      </c>
      <c r="H59" s="64">
        <v>29</v>
      </c>
      <c r="I59" s="64">
        <v>29</v>
      </c>
      <c r="J59" s="64">
        <v>29</v>
      </c>
      <c r="K59" s="64">
        <v>29</v>
      </c>
      <c r="L59" s="64">
        <v>29</v>
      </c>
      <c r="M59" s="64">
        <v>25</v>
      </c>
      <c r="N59" s="64">
        <v>25</v>
      </c>
      <c r="O59" s="64">
        <v>25</v>
      </c>
      <c r="P59" s="64">
        <v>25</v>
      </c>
      <c r="Q59" s="64">
        <v>25</v>
      </c>
      <c r="R59" s="64">
        <v>25</v>
      </c>
      <c r="S59" s="64">
        <v>25</v>
      </c>
      <c r="T59" s="64">
        <v>30</v>
      </c>
      <c r="U59" s="64">
        <v>26</v>
      </c>
      <c r="V59" s="64">
        <v>26</v>
      </c>
      <c r="W59" s="64">
        <v>26</v>
      </c>
      <c r="X59" s="64">
        <v>26</v>
      </c>
      <c r="Y59" s="45">
        <v>26</v>
      </c>
      <c r="Z59" s="45">
        <v>26</v>
      </c>
      <c r="AA59" s="45">
        <v>26</v>
      </c>
      <c r="AB59" s="45">
        <v>26</v>
      </c>
      <c r="AC59" s="45">
        <v>26</v>
      </c>
      <c r="AD59" s="45">
        <v>26</v>
      </c>
      <c r="AE59" s="45">
        <v>26</v>
      </c>
      <c r="AF59" s="45">
        <v>26</v>
      </c>
      <c r="AG59" s="54">
        <v>30</v>
      </c>
      <c r="AH59" s="47">
        <f t="shared" si="2"/>
        <v>30</v>
      </c>
      <c r="AI59" s="48">
        <f t="shared" si="3"/>
        <v>25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3.3</v>
      </c>
      <c r="N60" s="64">
        <v>3.3</v>
      </c>
      <c r="O60" s="64">
        <v>11.4</v>
      </c>
      <c r="P60" s="64">
        <v>11.4</v>
      </c>
      <c r="Q60" s="64">
        <v>11.4</v>
      </c>
      <c r="R60" s="64">
        <v>9.6999999999999993</v>
      </c>
      <c r="S60" s="64">
        <v>9.6999999999999993</v>
      </c>
      <c r="T60" s="64">
        <v>9.6999999999999993</v>
      </c>
      <c r="U60" s="64">
        <v>6.5</v>
      </c>
      <c r="V60" s="64">
        <v>0.8</v>
      </c>
      <c r="W60" s="64">
        <v>0.8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11.4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0</v>
      </c>
      <c r="N62" s="64">
        <v>0</v>
      </c>
      <c r="O62" s="64">
        <v>0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0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11.3</v>
      </c>
      <c r="C63" s="64">
        <v>11.3</v>
      </c>
      <c r="D63" s="64">
        <v>11.3</v>
      </c>
      <c r="E63" s="64">
        <v>11.3</v>
      </c>
      <c r="F63" s="64">
        <v>11.3</v>
      </c>
      <c r="G63" s="64">
        <v>11.3</v>
      </c>
      <c r="H63" s="64">
        <v>11.3</v>
      </c>
      <c r="I63" s="64">
        <v>11.3</v>
      </c>
      <c r="J63" s="64">
        <v>11.3</v>
      </c>
      <c r="K63" s="64">
        <v>11.3</v>
      </c>
      <c r="L63" s="64">
        <v>11.3</v>
      </c>
      <c r="M63" s="64">
        <v>11</v>
      </c>
      <c r="N63" s="64">
        <v>11</v>
      </c>
      <c r="O63" s="64">
        <v>11.6</v>
      </c>
      <c r="P63" s="64">
        <v>11.6</v>
      </c>
      <c r="Q63" s="64">
        <v>11.6</v>
      </c>
      <c r="R63" s="64">
        <v>12.1</v>
      </c>
      <c r="S63" s="64">
        <v>12.1</v>
      </c>
      <c r="T63" s="64">
        <v>12.1</v>
      </c>
      <c r="U63" s="64">
        <v>12.1</v>
      </c>
      <c r="V63" s="64">
        <v>12.1</v>
      </c>
      <c r="W63" s="64">
        <v>12.1</v>
      </c>
      <c r="X63" s="64">
        <v>12.1</v>
      </c>
      <c r="Y63" s="64">
        <v>12.1</v>
      </c>
      <c r="Z63" s="64">
        <v>12.1</v>
      </c>
      <c r="AA63" s="64">
        <v>12.1</v>
      </c>
      <c r="AB63" s="64">
        <v>12.1</v>
      </c>
      <c r="AC63" s="64">
        <v>12.1</v>
      </c>
      <c r="AD63" s="64">
        <v>12.1</v>
      </c>
      <c r="AE63" s="64">
        <v>12.1</v>
      </c>
      <c r="AF63" s="64">
        <v>12.1</v>
      </c>
      <c r="AG63" s="54">
        <v>14.1</v>
      </c>
      <c r="AH63" s="47">
        <f t="shared" si="2"/>
        <v>12.1</v>
      </c>
      <c r="AI63" s="48">
        <f t="shared" si="3"/>
        <v>11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10.5</v>
      </c>
      <c r="C64" s="64">
        <v>10.5</v>
      </c>
      <c r="D64" s="64">
        <v>10.5</v>
      </c>
      <c r="E64" s="64">
        <v>10.5</v>
      </c>
      <c r="F64" s="64">
        <v>10.5</v>
      </c>
      <c r="G64" s="64">
        <v>10.5</v>
      </c>
      <c r="H64" s="64">
        <v>10.5</v>
      </c>
      <c r="I64" s="64">
        <v>10.5</v>
      </c>
      <c r="J64" s="64">
        <v>10.5</v>
      </c>
      <c r="K64" s="64">
        <v>10.5</v>
      </c>
      <c r="L64" s="64">
        <v>10.5</v>
      </c>
      <c r="M64" s="64">
        <v>10.5</v>
      </c>
      <c r="N64" s="64">
        <v>10.5</v>
      </c>
      <c r="O64" s="64">
        <v>13.9</v>
      </c>
      <c r="P64" s="64">
        <v>13.9</v>
      </c>
      <c r="Q64" s="64">
        <v>13.9</v>
      </c>
      <c r="R64" s="64">
        <v>13.9</v>
      </c>
      <c r="S64" s="64">
        <v>13.9</v>
      </c>
      <c r="T64" s="64">
        <v>13.9</v>
      </c>
      <c r="U64" s="64">
        <v>13.9</v>
      </c>
      <c r="V64" s="64">
        <v>13.9</v>
      </c>
      <c r="W64" s="64">
        <v>13.9</v>
      </c>
      <c r="X64" s="64">
        <v>13.9</v>
      </c>
      <c r="Y64" s="64">
        <v>13.9</v>
      </c>
      <c r="Z64" s="64">
        <v>13.9</v>
      </c>
      <c r="AA64" s="64">
        <v>13.9</v>
      </c>
      <c r="AB64" s="64">
        <v>13.9</v>
      </c>
      <c r="AC64" s="64">
        <v>13.9</v>
      </c>
      <c r="AD64" s="64">
        <v>13.9</v>
      </c>
      <c r="AE64" s="64">
        <v>13.9</v>
      </c>
      <c r="AF64" s="64">
        <v>13.9</v>
      </c>
      <c r="AG64" s="54">
        <v>14</v>
      </c>
      <c r="AH64" s="47">
        <f t="shared" si="2"/>
        <v>13.9</v>
      </c>
      <c r="AI64" s="48">
        <f t="shared" si="3"/>
        <v>10.5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391.94</v>
      </c>
      <c r="C68" s="60">
        <f t="shared" si="6"/>
        <v>391.94</v>
      </c>
      <c r="D68" s="60">
        <f t="shared" si="6"/>
        <v>391.94</v>
      </c>
      <c r="E68" s="60">
        <f t="shared" si="6"/>
        <v>382.94</v>
      </c>
      <c r="F68" s="60">
        <f t="shared" si="6"/>
        <v>382.94</v>
      </c>
      <c r="G68" s="60">
        <f t="shared" si="6"/>
        <v>374.94</v>
      </c>
      <c r="H68" s="60">
        <f t="shared" si="6"/>
        <v>382.94</v>
      </c>
      <c r="I68" s="60">
        <f t="shared" si="6"/>
        <v>391.94</v>
      </c>
      <c r="J68" s="60">
        <f t="shared" si="6"/>
        <v>391.94</v>
      </c>
      <c r="K68" s="60">
        <f t="shared" si="6"/>
        <v>391.94</v>
      </c>
      <c r="L68" s="60">
        <f t="shared" si="6"/>
        <v>391.94</v>
      </c>
      <c r="M68" s="60">
        <f t="shared" si="6"/>
        <v>390.14000000000004</v>
      </c>
      <c r="N68" s="60">
        <f t="shared" si="6"/>
        <v>391.14000000000004</v>
      </c>
      <c r="O68" s="60">
        <f t="shared" si="6"/>
        <v>403.24</v>
      </c>
      <c r="P68" s="60">
        <f t="shared" si="6"/>
        <v>403.24</v>
      </c>
      <c r="Q68" s="60">
        <f t="shared" si="6"/>
        <v>404.84</v>
      </c>
      <c r="R68" s="60">
        <f t="shared" si="6"/>
        <v>401.84</v>
      </c>
      <c r="S68" s="60">
        <f t="shared" si="6"/>
        <v>401.84</v>
      </c>
      <c r="T68" s="60">
        <f t="shared" si="6"/>
        <v>406.84</v>
      </c>
      <c r="U68" s="60">
        <f t="shared" si="6"/>
        <v>398.04</v>
      </c>
      <c r="V68" s="60">
        <f t="shared" si="6"/>
        <v>427.23999999999995</v>
      </c>
      <c r="W68" s="60">
        <f t="shared" si="6"/>
        <v>427.23999999999995</v>
      </c>
      <c r="X68" s="60">
        <f t="shared" si="6"/>
        <v>427.24</v>
      </c>
      <c r="Y68" s="60">
        <f t="shared" si="6"/>
        <v>427.24</v>
      </c>
      <c r="Z68" s="60">
        <f t="shared" si="6"/>
        <v>427.24</v>
      </c>
      <c r="AA68" s="60">
        <f t="shared" si="6"/>
        <v>427.24</v>
      </c>
      <c r="AB68" s="60">
        <f>SUM(AB55:AB67)</f>
        <v>424.44</v>
      </c>
      <c r="AC68" s="60">
        <f t="shared" si="6"/>
        <v>424.44</v>
      </c>
      <c r="AD68" s="60">
        <f t="shared" si="6"/>
        <v>424.44</v>
      </c>
      <c r="AE68" s="60">
        <f>SUM(AE55:AE67)</f>
        <v>408.84000000000003</v>
      </c>
      <c r="AF68" s="60">
        <f>SUM(AF55:AF67)</f>
        <v>393.54</v>
      </c>
      <c r="AG68" s="61">
        <f t="shared" si="6"/>
        <v>489.91</v>
      </c>
      <c r="AH68" s="47">
        <f t="shared" si="2"/>
        <v>427.24</v>
      </c>
      <c r="AI68" s="48">
        <f t="shared" si="3"/>
        <v>374.94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/>
      <c r="N69" s="45"/>
      <c r="O69" s="45"/>
      <c r="P69" s="45">
        <v>10</v>
      </c>
      <c r="Q69" s="45">
        <v>14</v>
      </c>
      <c r="R69" s="45">
        <v>10.199999999999999</v>
      </c>
      <c r="S69" s="45"/>
      <c r="T69" s="45"/>
      <c r="U69" s="45"/>
      <c r="V69" s="45"/>
      <c r="W69" s="45"/>
      <c r="X69" s="45">
        <v>13.8</v>
      </c>
      <c r="Y69" s="45">
        <v>32.799999999999997</v>
      </c>
      <c r="Z69" s="45">
        <v>14.3</v>
      </c>
      <c r="AA69" s="45">
        <v>10.5</v>
      </c>
      <c r="AB69" s="45">
        <v>10.5</v>
      </c>
      <c r="AC69" s="45">
        <v>14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32.799999999999997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64"/>
      <c r="N70" s="64"/>
      <c r="O70" s="64"/>
      <c r="P70" s="64">
        <v>3.9</v>
      </c>
      <c r="Q70" s="64">
        <v>5.9</v>
      </c>
      <c r="R70" s="64">
        <v>4.4000000000000004</v>
      </c>
      <c r="S70" s="64"/>
      <c r="T70" s="64"/>
      <c r="U70" s="64"/>
      <c r="V70" s="64"/>
      <c r="W70" s="64"/>
      <c r="X70" s="64">
        <v>6</v>
      </c>
      <c r="Y70" s="64">
        <v>15.6</v>
      </c>
      <c r="Z70" s="64">
        <v>9.5</v>
      </c>
      <c r="AA70" s="64">
        <v>6.9</v>
      </c>
      <c r="AB70" s="64">
        <v>3.1</v>
      </c>
      <c r="AC70" s="64">
        <v>5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15.6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66"/>
      <c r="N71" s="66"/>
      <c r="O71" s="66"/>
      <c r="P71" s="66">
        <v>1.4</v>
      </c>
      <c r="Q71" s="66">
        <v>2.1</v>
      </c>
      <c r="R71" s="66">
        <v>1.6</v>
      </c>
      <c r="S71" s="66"/>
      <c r="T71" s="66"/>
      <c r="U71" s="66"/>
      <c r="V71" s="66"/>
      <c r="W71" s="66"/>
      <c r="X71" s="66">
        <v>2.2000000000000002</v>
      </c>
      <c r="Y71" s="66">
        <v>5.7</v>
      </c>
      <c r="Z71" s="66">
        <v>3.5</v>
      </c>
      <c r="AA71" s="66">
        <v>2.5</v>
      </c>
      <c r="AB71" s="66">
        <v>1.1000000000000001</v>
      </c>
      <c r="AC71" s="66">
        <v>2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5.7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D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15.3</v>
      </c>
      <c r="Q72" s="60">
        <f t="shared" si="7"/>
        <v>22</v>
      </c>
      <c r="R72" s="60">
        <f t="shared" si="7"/>
        <v>16.2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22</v>
      </c>
      <c r="Y72" s="60">
        <f t="shared" si="7"/>
        <v>54.1</v>
      </c>
      <c r="Z72" s="60">
        <f t="shared" si="7"/>
        <v>27.3</v>
      </c>
      <c r="AA72" s="60">
        <f t="shared" si="7"/>
        <v>19.899999999999999</v>
      </c>
      <c r="AB72" s="60">
        <f>AB69+AB70+AB71</f>
        <v>14.7</v>
      </c>
      <c r="AC72" s="60">
        <f t="shared" si="7"/>
        <v>21</v>
      </c>
      <c r="AD72" s="60">
        <f t="shared" si="7"/>
        <v>0</v>
      </c>
      <c r="AE72" s="60">
        <f>AE69+AE70+AE71</f>
        <v>0</v>
      </c>
      <c r="AF72" s="60">
        <f>AF69+AF70+AF71</f>
        <v>0</v>
      </c>
      <c r="AG72" s="61">
        <f>SUM(AG69:AG71)</f>
        <v>106</v>
      </c>
      <c r="AH72" s="47">
        <f t="shared" si="2"/>
        <v>54.1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-65</v>
      </c>
      <c r="C73" s="45">
        <v>-66</v>
      </c>
      <c r="D73" s="45">
        <v>-56</v>
      </c>
      <c r="E73" s="45">
        <v>-60</v>
      </c>
      <c r="F73" s="45">
        <v>-62</v>
      </c>
      <c r="G73" s="45">
        <v>-62.5</v>
      </c>
      <c r="H73" s="45">
        <v>-63.5</v>
      </c>
      <c r="I73" s="45">
        <v>-69.7</v>
      </c>
      <c r="J73" s="45">
        <v>-70</v>
      </c>
      <c r="K73" s="45">
        <v>-70.099999999999994</v>
      </c>
      <c r="L73" s="45">
        <v>-71.599999999999994</v>
      </c>
      <c r="M73" s="45">
        <v>-70</v>
      </c>
      <c r="N73" s="45">
        <v>-63</v>
      </c>
      <c r="O73" s="45">
        <v>-58</v>
      </c>
      <c r="P73" s="45">
        <v>-54</v>
      </c>
      <c r="Q73" s="45">
        <v>-59.6</v>
      </c>
      <c r="R73" s="45">
        <v>-56.2</v>
      </c>
      <c r="S73" s="45">
        <v>-46.8</v>
      </c>
      <c r="T73" s="45">
        <v>-60.5</v>
      </c>
      <c r="U73" s="45">
        <v>-60.5</v>
      </c>
      <c r="V73" s="45">
        <v>-58.9</v>
      </c>
      <c r="W73" s="45">
        <v>-63.2</v>
      </c>
      <c r="X73" s="45">
        <v>-58.7</v>
      </c>
      <c r="Y73" s="45">
        <v>-19.8</v>
      </c>
      <c r="Z73" s="45">
        <v>-5.7</v>
      </c>
      <c r="AA73" s="45">
        <v>-2.5</v>
      </c>
      <c r="AB73" s="45">
        <v>-39.6</v>
      </c>
      <c r="AC73" s="45">
        <v>-38</v>
      </c>
      <c r="AD73" s="45">
        <v>-41</v>
      </c>
      <c r="AE73" s="45">
        <v>-43</v>
      </c>
      <c r="AF73" s="45">
        <v>-45</v>
      </c>
      <c r="AG73" s="51"/>
      <c r="AH73" s="47">
        <f t="shared" si="2"/>
        <v>-2.5</v>
      </c>
      <c r="AI73" s="48">
        <f t="shared" si="3"/>
        <v>-71.599999999999994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-611</v>
      </c>
      <c r="C75" s="64">
        <v>-615</v>
      </c>
      <c r="D75" s="64">
        <v>-642</v>
      </c>
      <c r="E75" s="64">
        <v>-622</v>
      </c>
      <c r="F75" s="64">
        <v>-620</v>
      </c>
      <c r="G75" s="64">
        <v>-604</v>
      </c>
      <c r="H75" s="64">
        <v>-601</v>
      </c>
      <c r="I75" s="64">
        <v>-594</v>
      </c>
      <c r="J75" s="64">
        <v>-594</v>
      </c>
      <c r="K75" s="64">
        <v>-589</v>
      </c>
      <c r="L75" s="64">
        <v>-590</v>
      </c>
      <c r="M75" s="64">
        <v>-574.20000000000005</v>
      </c>
      <c r="N75" s="64">
        <v>-601</v>
      </c>
      <c r="O75" s="64">
        <v>-552.20000000000005</v>
      </c>
      <c r="P75" s="64">
        <v>-589.5</v>
      </c>
      <c r="Q75" s="64">
        <v>-610.20000000000005</v>
      </c>
      <c r="R75" s="64">
        <v>-568</v>
      </c>
      <c r="S75" s="64">
        <v>-568</v>
      </c>
      <c r="T75" s="64">
        <v>-598</v>
      </c>
      <c r="U75" s="64">
        <v>-606</v>
      </c>
      <c r="V75" s="64">
        <v>-659</v>
      </c>
      <c r="W75" s="64">
        <v>-610</v>
      </c>
      <c r="X75" s="64">
        <v>-564</v>
      </c>
      <c r="Y75" s="64">
        <v>-539</v>
      </c>
      <c r="Z75" s="64">
        <v>-552</v>
      </c>
      <c r="AA75" s="64">
        <v>-568</v>
      </c>
      <c r="AB75" s="64">
        <v>-584.5</v>
      </c>
      <c r="AC75" s="64">
        <v>-558</v>
      </c>
      <c r="AD75" s="64">
        <v>-560</v>
      </c>
      <c r="AE75" s="64">
        <v>-599</v>
      </c>
      <c r="AF75" s="64">
        <v>-577</v>
      </c>
      <c r="AG75" s="74"/>
      <c r="AH75" s="47">
        <f t="shared" si="2"/>
        <v>-539</v>
      </c>
      <c r="AI75" s="48">
        <f t="shared" si="3"/>
        <v>-659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64"/>
      <c r="AF76" s="64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64"/>
      <c r="F77" s="64"/>
      <c r="G77" s="64"/>
      <c r="H77" s="64"/>
      <c r="I77" s="64"/>
      <c r="J77" s="64"/>
      <c r="K77" s="64"/>
      <c r="L77" s="64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64"/>
      <c r="F78" s="64"/>
      <c r="G78" s="64"/>
      <c r="H78" s="64"/>
      <c r="I78" s="64"/>
      <c r="J78" s="64"/>
      <c r="K78" s="64"/>
      <c r="L78" s="64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64"/>
      <c r="F79" s="64"/>
      <c r="G79" s="64"/>
      <c r="H79" s="64"/>
      <c r="I79" s="64"/>
      <c r="J79" s="64"/>
      <c r="K79" s="64"/>
      <c r="L79" s="64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64"/>
      <c r="F80" s="64"/>
      <c r="G80" s="64"/>
      <c r="H80" s="64"/>
      <c r="I80" s="64"/>
      <c r="J80" s="64"/>
      <c r="K80" s="64"/>
      <c r="L80" s="64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64"/>
      <c r="F81" s="64"/>
      <c r="G81" s="64"/>
      <c r="H81" s="64"/>
      <c r="I81" s="64"/>
      <c r="J81" s="64"/>
      <c r="K81" s="64"/>
      <c r="L81" s="64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64"/>
      <c r="F82" s="64"/>
      <c r="G82" s="64"/>
      <c r="H82" s="64"/>
      <c r="I82" s="64"/>
      <c r="J82" s="64"/>
      <c r="K82" s="64"/>
      <c r="L82" s="64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64"/>
      <c r="F83" s="64"/>
      <c r="G83" s="64"/>
      <c r="H83" s="64"/>
      <c r="I83" s="64"/>
      <c r="J83" s="64"/>
      <c r="K83" s="64"/>
      <c r="L83" s="64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D84" si="10">SUMIF(B73:B83,"&gt;0")</f>
        <v>0</v>
      </c>
      <c r="C84" s="60">
        <f t="shared" si="10"/>
        <v>0</v>
      </c>
      <c r="D84" s="60">
        <f t="shared" si="10"/>
        <v>0</v>
      </c>
      <c r="E84" s="60">
        <f t="shared" si="10"/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 t="shared" si="10"/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 t="shared" si="10"/>
        <v>0</v>
      </c>
      <c r="AB84" s="60">
        <f>SUMIF(AB73:AB83,"&gt;0")</f>
        <v>0</v>
      </c>
      <c r="AC84" s="60">
        <f t="shared" si="10"/>
        <v>0</v>
      </c>
      <c r="AD84" s="60">
        <f t="shared" si="10"/>
        <v>0</v>
      </c>
      <c r="AE84" s="60">
        <f>SUMIF(AE73:AE83,"&gt;0")</f>
        <v>0</v>
      </c>
      <c r="AF84" s="60">
        <f>SUMIF(AF73:AF83,"&gt;0")</f>
        <v>0</v>
      </c>
      <c r="AG84" s="87">
        <f>SUM(AG73:AG83)</f>
        <v>0</v>
      </c>
      <c r="AH84" s="47">
        <f t="shared" si="8"/>
        <v>0</v>
      </c>
      <c r="AI84" s="48">
        <f t="shared" si="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2043.64</v>
      </c>
      <c r="C89" s="94">
        <f t="shared" si="11"/>
        <v>2043.64</v>
      </c>
      <c r="D89" s="94">
        <f t="shared" si="11"/>
        <v>2026.64</v>
      </c>
      <c r="E89" s="94">
        <f t="shared" si="11"/>
        <v>1988.3400000000001</v>
      </c>
      <c r="F89" s="94">
        <f t="shared" si="11"/>
        <v>1988.3400000000001</v>
      </c>
      <c r="G89" s="94">
        <f t="shared" si="11"/>
        <v>1980.3400000000001</v>
      </c>
      <c r="H89" s="94">
        <f t="shared" si="11"/>
        <v>1988.3400000000001</v>
      </c>
      <c r="I89" s="94">
        <f t="shared" si="11"/>
        <v>2002.3400000000001</v>
      </c>
      <c r="J89" s="94">
        <f t="shared" si="11"/>
        <v>2034.3400000000001</v>
      </c>
      <c r="K89" s="94">
        <f t="shared" si="11"/>
        <v>2091.34</v>
      </c>
      <c r="L89" s="94">
        <f t="shared" si="11"/>
        <v>2127.34</v>
      </c>
      <c r="M89" s="94">
        <f t="shared" si="11"/>
        <v>2124.64</v>
      </c>
      <c r="N89" s="94">
        <f t="shared" si="11"/>
        <v>2110.2399999999998</v>
      </c>
      <c r="O89" s="94">
        <f t="shared" si="11"/>
        <v>2098.34</v>
      </c>
      <c r="P89" s="94">
        <f t="shared" si="11"/>
        <v>2112.64</v>
      </c>
      <c r="Q89" s="94">
        <f t="shared" si="11"/>
        <v>2102.94</v>
      </c>
      <c r="R89" s="94">
        <f t="shared" si="11"/>
        <v>2074.04</v>
      </c>
      <c r="S89" s="94">
        <f t="shared" si="11"/>
        <v>2065.34</v>
      </c>
      <c r="T89" s="94">
        <f t="shared" si="11"/>
        <v>2136.2400000000002</v>
      </c>
      <c r="U89" s="94">
        <f t="shared" si="11"/>
        <v>2080.44</v>
      </c>
      <c r="V89" s="94">
        <f t="shared" si="11"/>
        <v>2109.64</v>
      </c>
      <c r="W89" s="94">
        <f t="shared" si="11"/>
        <v>2115.14</v>
      </c>
      <c r="X89" s="94">
        <f t="shared" si="11"/>
        <v>2184.1400000000003</v>
      </c>
      <c r="Y89" s="94">
        <f t="shared" si="11"/>
        <v>2216.2399999999998</v>
      </c>
      <c r="Z89" s="94">
        <f t="shared" si="11"/>
        <v>2189.44</v>
      </c>
      <c r="AA89" s="94">
        <f t="shared" si="11"/>
        <v>2176.1400000000003</v>
      </c>
      <c r="AB89" s="94">
        <f>AB50+AB54+AB72+AB68+AB84+AB88</f>
        <v>2168.14</v>
      </c>
      <c r="AC89" s="94">
        <f t="shared" si="11"/>
        <v>2163.84</v>
      </c>
      <c r="AD89" s="94">
        <f t="shared" si="11"/>
        <v>2110.84</v>
      </c>
      <c r="AE89" s="94">
        <f>AE50+AE54+AE72+AE68+AE84+AE88</f>
        <v>2095.2400000000002</v>
      </c>
      <c r="AF89" s="94">
        <f>AF50+AF54+AF72+AF68+AF84+AF88</f>
        <v>2079.94</v>
      </c>
      <c r="AG89" s="61">
        <f t="shared" si="11"/>
        <v>2111.5500000000002</v>
      </c>
      <c r="AH89" s="47">
        <f t="shared" si="8"/>
        <v>2216.2399999999998</v>
      </c>
      <c r="AI89" s="48">
        <f t="shared" si="9"/>
        <v>1980.3400000000001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D91" si="12">B89+B90</f>
        <v>2043.64</v>
      </c>
      <c r="C91" s="94">
        <f t="shared" si="12"/>
        <v>2043.64</v>
      </c>
      <c r="D91" s="94">
        <f t="shared" si="12"/>
        <v>2026.64</v>
      </c>
      <c r="E91" s="94">
        <f t="shared" si="12"/>
        <v>1988.3400000000001</v>
      </c>
      <c r="F91" s="94">
        <f t="shared" si="12"/>
        <v>1988.3400000000001</v>
      </c>
      <c r="G91" s="94">
        <f t="shared" si="12"/>
        <v>1980.3400000000001</v>
      </c>
      <c r="H91" s="94">
        <f t="shared" si="12"/>
        <v>1988.3400000000001</v>
      </c>
      <c r="I91" s="94">
        <f t="shared" si="12"/>
        <v>2002.3400000000001</v>
      </c>
      <c r="J91" s="94">
        <f t="shared" si="12"/>
        <v>2034.3400000000001</v>
      </c>
      <c r="K91" s="94">
        <f t="shared" si="12"/>
        <v>2091.34</v>
      </c>
      <c r="L91" s="94">
        <f t="shared" si="12"/>
        <v>2127.34</v>
      </c>
      <c r="M91" s="94">
        <f t="shared" si="12"/>
        <v>2124.64</v>
      </c>
      <c r="N91" s="94">
        <f t="shared" si="12"/>
        <v>2110.2399999999998</v>
      </c>
      <c r="O91" s="94">
        <f t="shared" si="12"/>
        <v>2098.34</v>
      </c>
      <c r="P91" s="94">
        <f t="shared" si="12"/>
        <v>2112.64</v>
      </c>
      <c r="Q91" s="94">
        <f t="shared" si="12"/>
        <v>2102.94</v>
      </c>
      <c r="R91" s="94">
        <f t="shared" si="12"/>
        <v>2074.04</v>
      </c>
      <c r="S91" s="94">
        <f t="shared" si="12"/>
        <v>2065.34</v>
      </c>
      <c r="T91" s="94">
        <f t="shared" si="12"/>
        <v>2136.2400000000002</v>
      </c>
      <c r="U91" s="94">
        <f t="shared" si="12"/>
        <v>2080.44</v>
      </c>
      <c r="V91" s="94">
        <f t="shared" si="12"/>
        <v>2109.64</v>
      </c>
      <c r="W91" s="94">
        <f t="shared" si="12"/>
        <v>2115.14</v>
      </c>
      <c r="X91" s="94">
        <f t="shared" si="12"/>
        <v>2184.1400000000003</v>
      </c>
      <c r="Y91" s="94">
        <f t="shared" si="12"/>
        <v>2216.2399999999998</v>
      </c>
      <c r="Z91" s="94">
        <f t="shared" si="12"/>
        <v>2189.44</v>
      </c>
      <c r="AA91" s="94">
        <f t="shared" si="12"/>
        <v>2176.1400000000003</v>
      </c>
      <c r="AB91" s="94">
        <f>AB89+AB90</f>
        <v>2168.14</v>
      </c>
      <c r="AC91" s="94">
        <f t="shared" si="12"/>
        <v>2163.84</v>
      </c>
      <c r="AD91" s="94">
        <f t="shared" si="12"/>
        <v>2110.84</v>
      </c>
      <c r="AE91" s="94">
        <f>AE89+AE90</f>
        <v>2095.2400000000002</v>
      </c>
      <c r="AF91" s="94">
        <f>AF89+AF90</f>
        <v>2079.94</v>
      </c>
      <c r="AG91" s="87">
        <f>AG88+AG84+AG72+AG68+AG50+AG90</f>
        <v>1573.45</v>
      </c>
      <c r="AH91" s="47">
        <f t="shared" si="8"/>
        <v>2216.2399999999998</v>
      </c>
      <c r="AI91" s="48">
        <f t="shared" si="9"/>
        <v>1980.3400000000001</v>
      </c>
    </row>
    <row r="92" spans="1:40" ht="15.75" thickBot="1" x14ac:dyDescent="0.3">
      <c r="A92" s="73" t="s">
        <v>103</v>
      </c>
      <c r="B92" s="94">
        <f>B91-(-B99)</f>
        <v>1432.64</v>
      </c>
      <c r="C92" s="94">
        <f t="shared" ref="C92:AD92" si="13">C91-(-C99)</f>
        <v>1428.64</v>
      </c>
      <c r="D92" s="94">
        <f t="shared" si="13"/>
        <v>1384.64</v>
      </c>
      <c r="E92" s="94">
        <f t="shared" si="13"/>
        <v>1366.3400000000001</v>
      </c>
      <c r="F92" s="94">
        <f t="shared" si="13"/>
        <v>1368.3400000000001</v>
      </c>
      <c r="G92" s="94">
        <f t="shared" si="13"/>
        <v>1376.3400000000001</v>
      </c>
      <c r="H92" s="94">
        <f t="shared" si="13"/>
        <v>1387.3400000000001</v>
      </c>
      <c r="I92" s="94">
        <f t="shared" si="13"/>
        <v>1408.3400000000001</v>
      </c>
      <c r="J92" s="94">
        <f t="shared" si="13"/>
        <v>1440.3400000000001</v>
      </c>
      <c r="K92" s="94">
        <f t="shared" si="13"/>
        <v>1502.3400000000001</v>
      </c>
      <c r="L92" s="94">
        <f t="shared" si="13"/>
        <v>1537.3400000000001</v>
      </c>
      <c r="M92" s="94">
        <f t="shared" si="13"/>
        <v>1550.4399999999998</v>
      </c>
      <c r="N92" s="94">
        <f t="shared" si="13"/>
        <v>1509.2399999999998</v>
      </c>
      <c r="O92" s="94">
        <f t="shared" si="13"/>
        <v>1546.14</v>
      </c>
      <c r="P92" s="94">
        <f t="shared" si="13"/>
        <v>1523.1399999999999</v>
      </c>
      <c r="Q92" s="94">
        <f t="shared" si="13"/>
        <v>1492.74</v>
      </c>
      <c r="R92" s="94">
        <f t="shared" si="13"/>
        <v>1506.04</v>
      </c>
      <c r="S92" s="94">
        <f t="shared" si="13"/>
        <v>1497.3400000000001</v>
      </c>
      <c r="T92" s="94">
        <f t="shared" si="13"/>
        <v>1538.2400000000002</v>
      </c>
      <c r="U92" s="94">
        <f t="shared" si="13"/>
        <v>1474.44</v>
      </c>
      <c r="V92" s="94">
        <f t="shared" si="13"/>
        <v>1450.6399999999999</v>
      </c>
      <c r="W92" s="94">
        <f t="shared" si="13"/>
        <v>1505.1399999999999</v>
      </c>
      <c r="X92" s="94">
        <f t="shared" si="13"/>
        <v>1620.1400000000003</v>
      </c>
      <c r="Y92" s="94">
        <f t="shared" si="13"/>
        <v>1677.2399999999998</v>
      </c>
      <c r="Z92" s="94">
        <f t="shared" si="13"/>
        <v>1637.44</v>
      </c>
      <c r="AA92" s="94">
        <f t="shared" si="13"/>
        <v>1608.1400000000003</v>
      </c>
      <c r="AB92" s="94">
        <f>AB91-(-AB99)</f>
        <v>1583.6399999999999</v>
      </c>
      <c r="AC92" s="94">
        <f t="shared" si="13"/>
        <v>1605.8400000000001</v>
      </c>
      <c r="AD92" s="94">
        <f t="shared" si="13"/>
        <v>1550.8400000000001</v>
      </c>
      <c r="AE92" s="94">
        <f>AE91-(-AE99)</f>
        <v>1496.2400000000002</v>
      </c>
      <c r="AF92" s="94">
        <f>AF91-(-AF99)</f>
        <v>1502.94</v>
      </c>
      <c r="AG92" s="87"/>
      <c r="AH92" s="47">
        <f t="shared" si="8"/>
        <v>1677.2399999999998</v>
      </c>
      <c r="AI92" s="48">
        <f t="shared" si="9"/>
        <v>1366.3400000000001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f>B75</f>
        <v>-611</v>
      </c>
      <c r="C99" s="60">
        <f t="shared" ref="C99:AD99" si="14">C75</f>
        <v>-615</v>
      </c>
      <c r="D99" s="60">
        <f t="shared" si="14"/>
        <v>-642</v>
      </c>
      <c r="E99" s="60">
        <f t="shared" si="14"/>
        <v>-622</v>
      </c>
      <c r="F99" s="60">
        <f t="shared" si="14"/>
        <v>-620</v>
      </c>
      <c r="G99" s="60">
        <f t="shared" si="14"/>
        <v>-604</v>
      </c>
      <c r="H99" s="60">
        <f t="shared" si="14"/>
        <v>-601</v>
      </c>
      <c r="I99" s="60">
        <f t="shared" si="14"/>
        <v>-594</v>
      </c>
      <c r="J99" s="60">
        <f t="shared" si="14"/>
        <v>-594</v>
      </c>
      <c r="K99" s="60">
        <f t="shared" si="14"/>
        <v>-589</v>
      </c>
      <c r="L99" s="60">
        <f t="shared" si="14"/>
        <v>-590</v>
      </c>
      <c r="M99" s="60">
        <f t="shared" si="14"/>
        <v>-574.20000000000005</v>
      </c>
      <c r="N99" s="60">
        <f t="shared" si="14"/>
        <v>-601</v>
      </c>
      <c r="O99" s="60">
        <f t="shared" si="14"/>
        <v>-552.20000000000005</v>
      </c>
      <c r="P99" s="60">
        <f t="shared" si="14"/>
        <v>-589.5</v>
      </c>
      <c r="Q99" s="60">
        <f t="shared" si="14"/>
        <v>-610.20000000000005</v>
      </c>
      <c r="R99" s="60">
        <f t="shared" si="14"/>
        <v>-568</v>
      </c>
      <c r="S99" s="60">
        <f t="shared" si="14"/>
        <v>-568</v>
      </c>
      <c r="T99" s="60">
        <f t="shared" si="14"/>
        <v>-598</v>
      </c>
      <c r="U99" s="60">
        <f t="shared" si="14"/>
        <v>-606</v>
      </c>
      <c r="V99" s="60">
        <f t="shared" si="14"/>
        <v>-659</v>
      </c>
      <c r="W99" s="60">
        <f t="shared" si="14"/>
        <v>-610</v>
      </c>
      <c r="X99" s="60">
        <f t="shared" si="14"/>
        <v>-564</v>
      </c>
      <c r="Y99" s="60">
        <f t="shared" si="14"/>
        <v>-539</v>
      </c>
      <c r="Z99" s="60">
        <f t="shared" si="14"/>
        <v>-552</v>
      </c>
      <c r="AA99" s="60">
        <f t="shared" si="14"/>
        <v>-568</v>
      </c>
      <c r="AB99" s="60">
        <f>AB75</f>
        <v>-584.5</v>
      </c>
      <c r="AC99" s="60">
        <f t="shared" si="14"/>
        <v>-558</v>
      </c>
      <c r="AD99" s="60">
        <f t="shared" si="14"/>
        <v>-560</v>
      </c>
      <c r="AE99" s="60">
        <f>AE75</f>
        <v>-599</v>
      </c>
      <c r="AF99" s="60">
        <f>AF75</f>
        <v>-577</v>
      </c>
      <c r="AG99" s="87"/>
      <c r="AH99" s="47">
        <f t="shared" si="8"/>
        <v>-539</v>
      </c>
      <c r="AI99" s="48">
        <f t="shared" si="9"/>
        <v>-659</v>
      </c>
      <c r="AK99" s="50"/>
    </row>
    <row r="100" spans="1:37" ht="15.75" thickBot="1" x14ac:dyDescent="0.3">
      <c r="A100" s="73" t="s">
        <v>108</v>
      </c>
      <c r="B100" s="60">
        <f t="shared" ref="B100:AD100" si="15">B84-B99</f>
        <v>611</v>
      </c>
      <c r="C100" s="60">
        <f t="shared" si="15"/>
        <v>615</v>
      </c>
      <c r="D100" s="60">
        <f t="shared" si="15"/>
        <v>642</v>
      </c>
      <c r="E100" s="60">
        <f t="shared" si="15"/>
        <v>622</v>
      </c>
      <c r="F100" s="60">
        <f t="shared" si="15"/>
        <v>620</v>
      </c>
      <c r="G100" s="60">
        <f t="shared" si="15"/>
        <v>604</v>
      </c>
      <c r="H100" s="60">
        <f t="shared" si="15"/>
        <v>601</v>
      </c>
      <c r="I100" s="60">
        <f t="shared" si="15"/>
        <v>594</v>
      </c>
      <c r="J100" s="60">
        <f t="shared" si="15"/>
        <v>594</v>
      </c>
      <c r="K100" s="60">
        <f t="shared" si="15"/>
        <v>589</v>
      </c>
      <c r="L100" s="60">
        <f t="shared" si="15"/>
        <v>590</v>
      </c>
      <c r="M100" s="60">
        <f t="shared" si="15"/>
        <v>574.20000000000005</v>
      </c>
      <c r="N100" s="60">
        <f t="shared" si="15"/>
        <v>601</v>
      </c>
      <c r="O100" s="60">
        <f t="shared" si="15"/>
        <v>552.20000000000005</v>
      </c>
      <c r="P100" s="60">
        <f t="shared" si="15"/>
        <v>589.5</v>
      </c>
      <c r="Q100" s="60">
        <f t="shared" si="15"/>
        <v>610.20000000000005</v>
      </c>
      <c r="R100" s="60">
        <f t="shared" si="15"/>
        <v>568</v>
      </c>
      <c r="S100" s="60">
        <f t="shared" si="15"/>
        <v>568</v>
      </c>
      <c r="T100" s="60">
        <f t="shared" si="15"/>
        <v>598</v>
      </c>
      <c r="U100" s="60">
        <f t="shared" si="15"/>
        <v>606</v>
      </c>
      <c r="V100" s="60">
        <f t="shared" si="15"/>
        <v>659</v>
      </c>
      <c r="W100" s="60">
        <f t="shared" si="15"/>
        <v>610</v>
      </c>
      <c r="X100" s="60">
        <f t="shared" si="15"/>
        <v>564</v>
      </c>
      <c r="Y100" s="60">
        <f t="shared" si="15"/>
        <v>539</v>
      </c>
      <c r="Z100" s="60">
        <f t="shared" si="15"/>
        <v>552</v>
      </c>
      <c r="AA100" s="60">
        <f t="shared" si="15"/>
        <v>568</v>
      </c>
      <c r="AB100" s="60">
        <f>AB84-AB99</f>
        <v>584.5</v>
      </c>
      <c r="AC100" s="60">
        <f t="shared" si="15"/>
        <v>558</v>
      </c>
      <c r="AD100" s="60">
        <f t="shared" si="15"/>
        <v>560</v>
      </c>
      <c r="AE100" s="60">
        <f>AE84-AE99</f>
        <v>599</v>
      </c>
      <c r="AF100" s="60">
        <f>AF84-AF99</f>
        <v>577</v>
      </c>
      <c r="AG100" s="87"/>
      <c r="AH100" s="47">
        <f t="shared" si="8"/>
        <v>659</v>
      </c>
      <c r="AI100" s="48">
        <f t="shared" si="9"/>
        <v>539</v>
      </c>
    </row>
    <row r="101" spans="1:37" x14ac:dyDescent="0.25">
      <c r="A101" s="99" t="s">
        <v>109</v>
      </c>
      <c r="B101" s="100">
        <v>49.994</v>
      </c>
      <c r="C101" s="100">
        <v>50.027000000000001</v>
      </c>
      <c r="D101" s="100">
        <v>49.987000000000002</v>
      </c>
      <c r="E101" s="100">
        <v>49.987000000000002</v>
      </c>
      <c r="F101" s="100">
        <v>49.987000000000002</v>
      </c>
      <c r="G101" s="100">
        <v>49.987000000000002</v>
      </c>
      <c r="H101" s="100">
        <v>50</v>
      </c>
      <c r="I101" s="100">
        <v>49.98</v>
      </c>
      <c r="J101" s="100">
        <v>49.97</v>
      </c>
      <c r="K101" s="100">
        <v>50.04</v>
      </c>
      <c r="L101" s="100">
        <v>49.99</v>
      </c>
      <c r="M101" s="100">
        <v>49.957000000000001</v>
      </c>
      <c r="N101" s="100">
        <v>49.98</v>
      </c>
      <c r="O101" s="100">
        <v>50.030999999999999</v>
      </c>
      <c r="P101" s="100">
        <v>49.99</v>
      </c>
      <c r="Q101" s="100">
        <v>49.923999999999999</v>
      </c>
      <c r="R101" s="100">
        <v>50</v>
      </c>
      <c r="S101" s="100">
        <v>49.95</v>
      </c>
      <c r="T101" s="100">
        <v>49.968000000000004</v>
      </c>
      <c r="U101" s="100">
        <v>49.954000000000001</v>
      </c>
      <c r="V101" s="100">
        <v>49.881</v>
      </c>
      <c r="W101" s="100">
        <v>49.872999999999998</v>
      </c>
      <c r="X101" s="100">
        <v>49.789000000000001</v>
      </c>
      <c r="Y101" s="100">
        <v>49.93</v>
      </c>
      <c r="Z101" s="100">
        <v>50.036999999999999</v>
      </c>
      <c r="AA101" s="100">
        <v>50.006</v>
      </c>
      <c r="AB101" s="100">
        <v>50.07</v>
      </c>
      <c r="AC101" s="100">
        <v>50.07</v>
      </c>
      <c r="AD101" s="100">
        <v>49.96</v>
      </c>
      <c r="AE101" s="100">
        <v>49.96</v>
      </c>
      <c r="AF101" s="100">
        <v>49.88</v>
      </c>
      <c r="AG101" s="101"/>
      <c r="AH101" s="47">
        <f t="shared" si="8"/>
        <v>50.07</v>
      </c>
      <c r="AI101" s="48">
        <f t="shared" si="9"/>
        <v>49.789000000000001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>
        <v>130.4</v>
      </c>
      <c r="C103" s="64">
        <v>130.19999999999999</v>
      </c>
      <c r="D103" s="64">
        <v>131</v>
      </c>
      <c r="E103" s="64">
        <v>131</v>
      </c>
      <c r="F103" s="64">
        <v>131</v>
      </c>
      <c r="G103" s="64">
        <v>131</v>
      </c>
      <c r="H103" s="64">
        <v>130.4</v>
      </c>
      <c r="I103" s="64">
        <v>130.4</v>
      </c>
      <c r="J103" s="64">
        <v>130.4</v>
      </c>
      <c r="K103" s="64">
        <v>125.9</v>
      </c>
      <c r="L103" s="64">
        <v>124.7</v>
      </c>
      <c r="M103" s="64">
        <v>124.4</v>
      </c>
      <c r="N103" s="64">
        <v>124.7</v>
      </c>
      <c r="O103" s="64">
        <v>125.8</v>
      </c>
      <c r="P103" s="64">
        <v>126.1</v>
      </c>
      <c r="Q103" s="64">
        <v>125.8</v>
      </c>
      <c r="R103" s="64">
        <v>127.2</v>
      </c>
      <c r="S103" s="64">
        <v>125.5</v>
      </c>
      <c r="T103" s="64">
        <v>123.8</v>
      </c>
      <c r="U103" s="64">
        <v>128</v>
      </c>
      <c r="V103" s="64">
        <v>127.1</v>
      </c>
      <c r="W103" s="64">
        <v>128.5</v>
      </c>
      <c r="X103" s="64">
        <v>128.1</v>
      </c>
      <c r="Y103" s="64">
        <v>127.6</v>
      </c>
      <c r="Z103" s="64">
        <v>127.9</v>
      </c>
      <c r="AA103" s="64">
        <v>128.9</v>
      </c>
      <c r="AB103" s="64">
        <v>128.9</v>
      </c>
      <c r="AC103" s="64">
        <v>128.9</v>
      </c>
      <c r="AD103" s="64">
        <v>129</v>
      </c>
      <c r="AE103" s="64">
        <v>129</v>
      </c>
      <c r="AF103" s="64">
        <v>128</v>
      </c>
      <c r="AG103" s="103"/>
      <c r="AH103" s="47">
        <f t="shared" si="8"/>
        <v>131</v>
      </c>
      <c r="AI103" s="48">
        <f t="shared" si="9"/>
        <v>123.8</v>
      </c>
    </row>
    <row r="104" spans="1:37" x14ac:dyDescent="0.25">
      <c r="A104" s="102" t="s">
        <v>112</v>
      </c>
      <c r="B104" s="64">
        <v>129.69999999999999</v>
      </c>
      <c r="C104" s="64">
        <v>131.19999999999999</v>
      </c>
      <c r="D104" s="64">
        <v>131</v>
      </c>
      <c r="E104" s="64">
        <v>131</v>
      </c>
      <c r="F104" s="64">
        <v>131</v>
      </c>
      <c r="G104" s="64">
        <v>131</v>
      </c>
      <c r="H104" s="64">
        <v>130.6</v>
      </c>
      <c r="I104" s="64">
        <v>130.6</v>
      </c>
      <c r="J104" s="64">
        <v>130.6</v>
      </c>
      <c r="K104" s="64">
        <v>127.2</v>
      </c>
      <c r="L104" s="64">
        <v>127.1</v>
      </c>
      <c r="M104" s="64">
        <v>128.30000000000001</v>
      </c>
      <c r="N104" s="64">
        <v>128.5</v>
      </c>
      <c r="O104" s="64">
        <v>128.80000000000001</v>
      </c>
      <c r="P104" s="64">
        <v>127.9</v>
      </c>
      <c r="Q104" s="64">
        <v>128.4</v>
      </c>
      <c r="R104" s="64">
        <v>128.19999999999999</v>
      </c>
      <c r="S104" s="64">
        <v>127.3</v>
      </c>
      <c r="T104" s="64">
        <v>125.5</v>
      </c>
      <c r="U104" s="64">
        <v>129.30000000000001</v>
      </c>
      <c r="V104" s="64">
        <v>130.69999999999999</v>
      </c>
      <c r="W104" s="64">
        <v>129.19999999999999</v>
      </c>
      <c r="X104" s="64">
        <v>127.7</v>
      </c>
      <c r="Y104" s="64">
        <v>129.69999999999999</v>
      </c>
      <c r="Z104" s="64">
        <v>129.69999999999999</v>
      </c>
      <c r="AA104" s="64">
        <v>130.4</v>
      </c>
      <c r="AB104" s="64">
        <v>130.4</v>
      </c>
      <c r="AC104" s="64">
        <v>130.4</v>
      </c>
      <c r="AD104" s="64">
        <v>129</v>
      </c>
      <c r="AE104" s="64">
        <v>129</v>
      </c>
      <c r="AF104" s="64">
        <v>129</v>
      </c>
      <c r="AG104" s="103"/>
      <c r="AH104" s="47">
        <f t="shared" si="8"/>
        <v>131.19999999999999</v>
      </c>
      <c r="AI104" s="48">
        <f t="shared" si="9"/>
        <v>125.5</v>
      </c>
    </row>
    <row r="105" spans="1:37" x14ac:dyDescent="0.25">
      <c r="A105" s="104" t="s">
        <v>113</v>
      </c>
      <c r="B105" s="64">
        <v>134.1</v>
      </c>
      <c r="C105" s="64">
        <v>134.30000000000001</v>
      </c>
      <c r="D105" s="64">
        <v>134</v>
      </c>
      <c r="E105" s="64">
        <v>134</v>
      </c>
      <c r="F105" s="64">
        <v>134</v>
      </c>
      <c r="G105" s="64">
        <v>134</v>
      </c>
      <c r="H105" s="64">
        <v>132.4</v>
      </c>
      <c r="I105" s="64">
        <v>132.4</v>
      </c>
      <c r="J105" s="64">
        <v>132.4</v>
      </c>
      <c r="K105" s="64">
        <v>129.1</v>
      </c>
      <c r="L105" s="64">
        <v>127.7</v>
      </c>
      <c r="M105" s="64">
        <v>129</v>
      </c>
      <c r="N105" s="64">
        <v>130.97999999999999</v>
      </c>
      <c r="O105" s="64">
        <v>131.4</v>
      </c>
      <c r="P105" s="64">
        <v>132.30000000000001</v>
      </c>
      <c r="Q105" s="64">
        <v>133.19999999999999</v>
      </c>
      <c r="R105" s="64">
        <v>132.69999999999999</v>
      </c>
      <c r="S105" s="64">
        <v>131.80000000000001</v>
      </c>
      <c r="T105" s="64">
        <v>129.30000000000001</v>
      </c>
      <c r="U105" s="64">
        <v>132.1</v>
      </c>
      <c r="V105" s="64">
        <v>133.30000000000001</v>
      </c>
      <c r="W105" s="64">
        <v>131</v>
      </c>
      <c r="X105" s="64">
        <v>129.19999999999999</v>
      </c>
      <c r="Y105" s="64">
        <v>133</v>
      </c>
      <c r="Z105" s="64">
        <v>133.5</v>
      </c>
      <c r="AA105" s="64">
        <v>134</v>
      </c>
      <c r="AB105" s="64">
        <v>134</v>
      </c>
      <c r="AC105" s="64">
        <v>134</v>
      </c>
      <c r="AD105" s="64">
        <v>133</v>
      </c>
      <c r="AE105" s="64">
        <v>133</v>
      </c>
      <c r="AF105" s="64">
        <v>132</v>
      </c>
      <c r="AG105" s="103"/>
      <c r="AH105" s="47">
        <f t="shared" si="8"/>
        <v>134.30000000000001</v>
      </c>
      <c r="AI105" s="48">
        <f t="shared" si="9"/>
        <v>127.7</v>
      </c>
    </row>
    <row r="106" spans="1:37" x14ac:dyDescent="0.25">
      <c r="A106" s="104" t="s">
        <v>114</v>
      </c>
      <c r="B106" s="105">
        <v>133.5</v>
      </c>
      <c r="C106" s="105">
        <v>131.4</v>
      </c>
      <c r="D106" s="105">
        <v>132</v>
      </c>
      <c r="E106" s="105">
        <v>132</v>
      </c>
      <c r="F106" s="105">
        <v>132</v>
      </c>
      <c r="G106" s="105">
        <v>132</v>
      </c>
      <c r="H106" s="105">
        <v>132.69999999999999</v>
      </c>
      <c r="I106" s="105">
        <v>132.69999999999999</v>
      </c>
      <c r="J106" s="105">
        <v>132.69999999999999</v>
      </c>
      <c r="K106" s="105">
        <v>130</v>
      </c>
      <c r="L106" s="105">
        <v>130.80000000000001</v>
      </c>
      <c r="M106" s="105">
        <v>131.4</v>
      </c>
      <c r="N106" s="105">
        <v>134</v>
      </c>
      <c r="O106" s="105">
        <v>133.19999999999999</v>
      </c>
      <c r="P106" s="105">
        <v>133.30000000000001</v>
      </c>
      <c r="Q106" s="105">
        <v>132.4</v>
      </c>
      <c r="R106" s="105">
        <v>133.30000000000001</v>
      </c>
      <c r="S106" s="105">
        <v>131.80000000000001</v>
      </c>
      <c r="T106" s="105">
        <v>130.4</v>
      </c>
      <c r="U106" s="105">
        <v>134.5</v>
      </c>
      <c r="V106" s="105">
        <v>133.69999999999999</v>
      </c>
      <c r="W106" s="105">
        <v>131.69999999999999</v>
      </c>
      <c r="X106" s="105">
        <v>132.80000000000001</v>
      </c>
      <c r="Y106" s="105">
        <v>130</v>
      </c>
      <c r="Z106" s="105">
        <v>130.5</v>
      </c>
      <c r="AA106" s="105">
        <v>135.4</v>
      </c>
      <c r="AB106" s="105">
        <v>135.4</v>
      </c>
      <c r="AC106" s="105">
        <v>135.4</v>
      </c>
      <c r="AD106" s="105">
        <v>135.5</v>
      </c>
      <c r="AE106" s="105">
        <v>135.5</v>
      </c>
      <c r="AF106" s="105">
        <v>128.5</v>
      </c>
      <c r="AG106" s="106"/>
      <c r="AH106" s="47">
        <f t="shared" si="8"/>
        <v>135.5</v>
      </c>
      <c r="AI106" s="48">
        <f t="shared" si="9"/>
        <v>128.5</v>
      </c>
    </row>
    <row r="107" spans="1:37" x14ac:dyDescent="0.25">
      <c r="A107" s="102" t="s">
        <v>115</v>
      </c>
      <c r="B107" s="64">
        <v>134.4</v>
      </c>
      <c r="C107" s="64">
        <v>128.6</v>
      </c>
      <c r="D107" s="64">
        <v>66.5</v>
      </c>
      <c r="E107" s="64">
        <v>66.5</v>
      </c>
      <c r="F107" s="64">
        <v>66.5</v>
      </c>
      <c r="G107" s="64">
        <v>66.5</v>
      </c>
      <c r="H107" s="64">
        <v>65.900000000000006</v>
      </c>
      <c r="I107" s="64">
        <v>65.900000000000006</v>
      </c>
      <c r="J107" s="64">
        <v>65.900000000000006</v>
      </c>
      <c r="K107" s="64">
        <v>130.19999999999999</v>
      </c>
      <c r="L107" s="64">
        <v>130.5</v>
      </c>
      <c r="M107" s="64">
        <v>132</v>
      </c>
      <c r="N107" s="64">
        <v>133</v>
      </c>
      <c r="O107" s="64">
        <v>131.4</v>
      </c>
      <c r="P107" s="64">
        <v>132.80000000000001</v>
      </c>
      <c r="Q107" s="64">
        <v>132</v>
      </c>
      <c r="R107" s="64">
        <v>133.69999999999999</v>
      </c>
      <c r="S107" s="64">
        <v>128.69999999999999</v>
      </c>
      <c r="T107" s="64">
        <v>127.3</v>
      </c>
      <c r="U107" s="64">
        <v>135.5</v>
      </c>
      <c r="V107" s="64">
        <v>132.9</v>
      </c>
      <c r="W107" s="64">
        <v>132.9</v>
      </c>
      <c r="X107" s="64">
        <v>135.19999999999999</v>
      </c>
      <c r="Y107" s="64">
        <v>128</v>
      </c>
      <c r="Z107" s="64">
        <v>128.69999999999999</v>
      </c>
      <c r="AA107" s="64">
        <v>134</v>
      </c>
      <c r="AB107" s="64">
        <v>134</v>
      </c>
      <c r="AC107" s="64">
        <v>134</v>
      </c>
      <c r="AD107" s="64">
        <v>131</v>
      </c>
      <c r="AE107" s="64">
        <v>131</v>
      </c>
      <c r="AF107" s="64">
        <v>127</v>
      </c>
      <c r="AG107" s="103"/>
      <c r="AH107" s="47">
        <f t="shared" si="8"/>
        <v>135.5</v>
      </c>
      <c r="AI107" s="48">
        <f t="shared" si="9"/>
        <v>65.900000000000006</v>
      </c>
    </row>
    <row r="108" spans="1:37" ht="15.75" thickBot="1" x14ac:dyDescent="0.3">
      <c r="A108" s="102" t="s">
        <v>116</v>
      </c>
      <c r="B108" s="91">
        <v>65.8</v>
      </c>
      <c r="C108" s="91">
        <v>65.7</v>
      </c>
      <c r="D108" s="91"/>
      <c r="E108" s="91"/>
      <c r="F108" s="91"/>
      <c r="G108" s="91"/>
      <c r="H108" s="91"/>
      <c r="I108" s="91"/>
      <c r="J108" s="91">
        <v>65</v>
      </c>
      <c r="K108" s="91">
        <v>63.6</v>
      </c>
      <c r="L108" s="91">
        <v>62.9</v>
      </c>
      <c r="M108" s="91">
        <v>62.8</v>
      </c>
      <c r="N108" s="91">
        <v>62.9</v>
      </c>
      <c r="O108" s="91">
        <v>63.1</v>
      </c>
      <c r="P108" s="91">
        <v>63.4</v>
      </c>
      <c r="Q108" s="91">
        <v>63.4</v>
      </c>
      <c r="R108" s="91">
        <v>64.099999999999994</v>
      </c>
      <c r="S108" s="91">
        <v>63.4</v>
      </c>
      <c r="T108" s="91">
        <v>62.5</v>
      </c>
      <c r="U108" s="91">
        <v>64.400000000000006</v>
      </c>
      <c r="V108" s="91">
        <v>64.3</v>
      </c>
      <c r="W108" s="91">
        <v>65</v>
      </c>
      <c r="X108" s="91">
        <v>64.8</v>
      </c>
      <c r="Y108" s="91">
        <v>64.8</v>
      </c>
      <c r="Z108" s="91">
        <v>65</v>
      </c>
      <c r="AA108" s="91">
        <v>64.8</v>
      </c>
      <c r="AB108" s="91">
        <v>64.8</v>
      </c>
      <c r="AC108" s="91">
        <v>64.8</v>
      </c>
      <c r="AD108" s="91">
        <v>64.900000000000006</v>
      </c>
      <c r="AE108" s="91">
        <v>64.900000000000006</v>
      </c>
      <c r="AF108" s="91">
        <v>64.099999999999994</v>
      </c>
      <c r="AG108" s="107"/>
      <c r="AH108" s="47">
        <f t="shared" si="8"/>
        <v>65.8</v>
      </c>
      <c r="AI108" s="48">
        <f t="shared" si="9"/>
        <v>62.5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 t="shared" ref="B110:O110" si="16">SUM(B20,B26,B29:B30,B58,B60:B61,B63,B65,B111:B115,B138,B144,B150,B159,B161,B173,B180,B183:B184,B191,B193,B195,B199:B201,B203:B205,B210,B216:B217,B219:B221,B229,B234)</f>
        <v>44.300000000000011</v>
      </c>
      <c r="C110" s="110">
        <f t="shared" si="16"/>
        <v>51.440000000000012</v>
      </c>
      <c r="D110" s="110">
        <f t="shared" si="16"/>
        <v>38.340000000000011</v>
      </c>
      <c r="E110" s="110">
        <f t="shared" si="16"/>
        <v>37.140000000000008</v>
      </c>
      <c r="F110" s="110">
        <f t="shared" si="16"/>
        <v>40.540000000000006</v>
      </c>
      <c r="G110" s="110">
        <f t="shared" si="16"/>
        <v>80.439999999999984</v>
      </c>
      <c r="H110" s="110">
        <f t="shared" si="16"/>
        <v>89.340000000000018</v>
      </c>
      <c r="I110" s="110">
        <f t="shared" si="16"/>
        <v>104.14</v>
      </c>
      <c r="J110" s="110">
        <f t="shared" si="16"/>
        <v>122.04</v>
      </c>
      <c r="K110" s="110">
        <f t="shared" si="16"/>
        <v>209.04000000000002</v>
      </c>
      <c r="L110" s="110">
        <f t="shared" si="16"/>
        <v>221.74</v>
      </c>
      <c r="M110" s="110">
        <f t="shared" si="16"/>
        <v>220.23999999999995</v>
      </c>
      <c r="N110" s="110">
        <f t="shared" si="16"/>
        <v>200.04</v>
      </c>
      <c r="O110" s="110">
        <f t="shared" si="16"/>
        <v>228.14000000000001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181.10000000000002</v>
      </c>
      <c r="R110" s="110">
        <f t="shared" si="17"/>
        <v>183.70000000000002</v>
      </c>
      <c r="S110" s="110">
        <f t="shared" si="17"/>
        <v>179</v>
      </c>
      <c r="T110" s="110">
        <f t="shared" si="17"/>
        <v>195.29999999999998</v>
      </c>
      <c r="U110" s="110">
        <f t="shared" si="17"/>
        <v>182</v>
      </c>
      <c r="V110" s="110">
        <f t="shared" si="17"/>
        <v>187.6</v>
      </c>
      <c r="W110" s="110">
        <f t="shared" si="17"/>
        <v>213.3</v>
      </c>
      <c r="X110" s="110">
        <f t="shared" si="17"/>
        <v>267.10000000000002</v>
      </c>
      <c r="Y110" s="110">
        <f t="shared" si="17"/>
        <v>290.89999999999998</v>
      </c>
      <c r="Z110" s="110">
        <f t="shared" si="17"/>
        <v>262.5</v>
      </c>
      <c r="AA110" s="110">
        <f t="shared" si="17"/>
        <v>243.1</v>
      </c>
      <c r="AB110" s="110">
        <f>SUM(AB20,AB26,AB29:AB30,AB58,AB60:AB61,AB63,AB65,AB111:AB115,AB138,AB144,AB150,AB159,AB161,AB173,AB180,AB183:AB184,AB191,AB193,AB195,AB199:AB201,AB203:AB205,AB210,AB216:AB217,AB219:AB221,AB229,AB234)</f>
        <v>211.9</v>
      </c>
      <c r="AC110" s="110">
        <f t="shared" si="17"/>
        <v>188.9</v>
      </c>
      <c r="AD110" s="110">
        <f t="shared" si="17"/>
        <v>144.5</v>
      </c>
      <c r="AE110" s="110">
        <f t="shared" si="17"/>
        <v>94.1</v>
      </c>
      <c r="AF110" s="110">
        <f t="shared" si="17"/>
        <v>73.599999999999994</v>
      </c>
      <c r="AG110" s="111"/>
      <c r="AH110" s="47">
        <f t="shared" si="8"/>
        <v>290.89999999999998</v>
      </c>
      <c r="AI110" s="48">
        <f t="shared" si="9"/>
        <v>37.140000000000008</v>
      </c>
    </row>
    <row r="111" spans="1:37" x14ac:dyDescent="0.25">
      <c r="A111" s="99" t="s">
        <v>119</v>
      </c>
      <c r="B111" s="112">
        <v>32.299999999999997</v>
      </c>
      <c r="C111" s="112">
        <v>21.9</v>
      </c>
      <c r="D111" s="112">
        <v>18</v>
      </c>
      <c r="E111" s="112">
        <v>18</v>
      </c>
      <c r="F111" s="112">
        <v>18</v>
      </c>
      <c r="G111" s="112">
        <v>20.6</v>
      </c>
      <c r="H111" s="112">
        <v>24.6</v>
      </c>
      <c r="I111" s="112">
        <v>25</v>
      </c>
      <c r="J111" s="112">
        <v>24.6</v>
      </c>
      <c r="K111" s="112">
        <v>53.4</v>
      </c>
      <c r="L111" s="112">
        <v>61</v>
      </c>
      <c r="M111" s="112">
        <v>63</v>
      </c>
      <c r="N111" s="112">
        <v>59.4</v>
      </c>
      <c r="O111" s="112">
        <v>59.6</v>
      </c>
      <c r="P111" s="112">
        <v>55.9</v>
      </c>
      <c r="Q111" s="112">
        <v>55.3</v>
      </c>
      <c r="R111" s="112">
        <v>53.6</v>
      </c>
      <c r="S111" s="112">
        <v>51.8</v>
      </c>
      <c r="T111" s="112">
        <v>81.099999999999994</v>
      </c>
      <c r="U111" s="112">
        <v>58.2</v>
      </c>
      <c r="V111" s="112">
        <v>62.7</v>
      </c>
      <c r="W111" s="112">
        <v>60.5</v>
      </c>
      <c r="X111" s="112">
        <v>73.3</v>
      </c>
      <c r="Y111" s="112">
        <v>72.400000000000006</v>
      </c>
      <c r="Z111" s="112">
        <v>75</v>
      </c>
      <c r="AA111" s="112">
        <v>76.5</v>
      </c>
      <c r="AB111" s="112">
        <v>78.599999999999994</v>
      </c>
      <c r="AC111" s="112">
        <v>72</v>
      </c>
      <c r="AD111" s="112">
        <v>62</v>
      </c>
      <c r="AE111" s="112">
        <v>41</v>
      </c>
      <c r="AF111" s="112">
        <v>29</v>
      </c>
      <c r="AG111" s="113">
        <v>75</v>
      </c>
      <c r="AH111" s="47">
        <f t="shared" si="8"/>
        <v>81.099999999999994</v>
      </c>
      <c r="AI111" s="48">
        <f t="shared" si="9"/>
        <v>18</v>
      </c>
    </row>
    <row r="112" spans="1:37" x14ac:dyDescent="0.25">
      <c r="A112" s="102" t="s">
        <v>120</v>
      </c>
      <c r="B112" s="114">
        <v>20.2</v>
      </c>
      <c r="C112" s="114">
        <v>34.5</v>
      </c>
      <c r="D112" s="114">
        <v>28</v>
      </c>
      <c r="E112" s="114">
        <v>28</v>
      </c>
      <c r="F112" s="114">
        <v>28</v>
      </c>
      <c r="G112" s="114">
        <v>32.799999999999997</v>
      </c>
      <c r="H112" s="114">
        <v>35.4</v>
      </c>
      <c r="I112" s="114">
        <v>35.200000000000003</v>
      </c>
      <c r="J112" s="114">
        <v>35.4</v>
      </c>
      <c r="K112" s="114">
        <v>71.5</v>
      </c>
      <c r="L112" s="114">
        <v>83.5</v>
      </c>
      <c r="M112" s="114">
        <v>87.1</v>
      </c>
      <c r="N112" s="114">
        <v>82.8</v>
      </c>
      <c r="O112" s="114">
        <v>82.2</v>
      </c>
      <c r="P112" s="114">
        <v>74.900000000000006</v>
      </c>
      <c r="Q112" s="114">
        <v>75.3</v>
      </c>
      <c r="R112" s="114">
        <v>71.7</v>
      </c>
      <c r="S112" s="114">
        <v>69.2</v>
      </c>
      <c r="T112" s="114">
        <v>116.5</v>
      </c>
      <c r="U112" s="114">
        <v>79.3</v>
      </c>
      <c r="V112" s="114">
        <v>85.5</v>
      </c>
      <c r="W112" s="114">
        <v>81.5</v>
      </c>
      <c r="X112" s="114">
        <v>102.3</v>
      </c>
      <c r="Y112" s="114">
        <v>100.7</v>
      </c>
      <c r="Z112" s="114">
        <v>105</v>
      </c>
      <c r="AA112" s="114">
        <v>108.5</v>
      </c>
      <c r="AB112" s="114">
        <v>111.7</v>
      </c>
      <c r="AC112" s="114">
        <v>101</v>
      </c>
      <c r="AD112" s="114">
        <v>84</v>
      </c>
      <c r="AE112" s="114">
        <v>56</v>
      </c>
      <c r="AF112" s="114">
        <v>44</v>
      </c>
      <c r="AG112" s="113">
        <v>240</v>
      </c>
      <c r="AH112" s="47">
        <f t="shared" si="8"/>
        <v>116.5</v>
      </c>
      <c r="AI112" s="48">
        <f t="shared" si="9"/>
        <v>20.2</v>
      </c>
    </row>
    <row r="113" spans="1:37" x14ac:dyDescent="0.25">
      <c r="A113" s="102" t="s">
        <v>121</v>
      </c>
      <c r="B113" s="114">
        <v>-130</v>
      </c>
      <c r="C113" s="114">
        <v>-128</v>
      </c>
      <c r="D113" s="114">
        <v>-125</v>
      </c>
      <c r="E113" s="114">
        <v>-125</v>
      </c>
      <c r="F113" s="114">
        <v>-125</v>
      </c>
      <c r="G113" s="114">
        <f>-45-49.5</f>
        <v>-94.5</v>
      </c>
      <c r="H113" s="114">
        <f>-45.3-48.9</f>
        <v>-94.199999999999989</v>
      </c>
      <c r="I113" s="114">
        <v>-84.6</v>
      </c>
      <c r="J113" s="114">
        <f>-42.1-34.9</f>
        <v>-77</v>
      </c>
      <c r="K113" s="114">
        <f>-29.4-31.4</f>
        <v>-60.8</v>
      </c>
      <c r="L113" s="114">
        <f>-34-36.9</f>
        <v>-70.900000000000006</v>
      </c>
      <c r="M113" s="114">
        <f>-38.3-40.1</f>
        <v>-78.400000000000006</v>
      </c>
      <c r="N113" s="114">
        <f>-45-48</f>
        <v>-93</v>
      </c>
      <c r="O113" s="114">
        <f>-36-38.5</f>
        <v>-74.5</v>
      </c>
      <c r="P113" s="114">
        <f>-45-50</f>
        <v>-95</v>
      </c>
      <c r="Q113" s="114">
        <f>-51-57</f>
        <v>-108</v>
      </c>
      <c r="R113" s="114">
        <f>-45-49.2</f>
        <v>-94.2</v>
      </c>
      <c r="S113" s="114">
        <v>-92</v>
      </c>
      <c r="T113" s="114">
        <v>-162</v>
      </c>
      <c r="U113" s="114">
        <v>-118</v>
      </c>
      <c r="V113" s="114">
        <v>-133</v>
      </c>
      <c r="W113" s="114">
        <v>-113</v>
      </c>
      <c r="X113" s="114">
        <v>-108</v>
      </c>
      <c r="Y113" s="114">
        <v>-92</v>
      </c>
      <c r="Z113" s="114">
        <v>-115</v>
      </c>
      <c r="AA113" s="114">
        <v>-133</v>
      </c>
      <c r="AB113" s="114">
        <v>-164.9</v>
      </c>
      <c r="AC113" s="114">
        <v>-172</v>
      </c>
      <c r="AD113" s="114">
        <v>-165</v>
      </c>
      <c r="AE113" s="114">
        <v>-145</v>
      </c>
      <c r="AF113" s="114">
        <v>-145</v>
      </c>
      <c r="AG113" s="113">
        <v>240</v>
      </c>
      <c r="AH113" s="47">
        <f t="shared" si="8"/>
        <v>-60.8</v>
      </c>
      <c r="AI113" s="48">
        <f t="shared" si="9"/>
        <v>-172</v>
      </c>
    </row>
    <row r="114" spans="1:37" x14ac:dyDescent="0.25">
      <c r="A114" s="102" t="s">
        <v>122</v>
      </c>
      <c r="B114" s="114">
        <v>-7</v>
      </c>
      <c r="C114" s="114">
        <v>-6.7</v>
      </c>
      <c r="D114" s="114">
        <v>-7.4</v>
      </c>
      <c r="E114" s="114">
        <v>-8.6</v>
      </c>
      <c r="F114" s="114">
        <v>-5.2</v>
      </c>
      <c r="G114" s="114">
        <v>-3.2</v>
      </c>
      <c r="H114" s="114">
        <v>-1.2</v>
      </c>
      <c r="I114" s="114">
        <v>-1.2</v>
      </c>
      <c r="J114" s="114">
        <v>-0.7</v>
      </c>
      <c r="K114" s="114">
        <v>-0.8</v>
      </c>
      <c r="L114" s="114">
        <v>-1.6</v>
      </c>
      <c r="M114" s="114">
        <v>1.9</v>
      </c>
      <c r="N114" s="114">
        <v>0.6</v>
      </c>
      <c r="O114" s="114">
        <v>1.9</v>
      </c>
      <c r="P114" s="114">
        <v>7.4</v>
      </c>
      <c r="Q114" s="114">
        <v>8.8000000000000007</v>
      </c>
      <c r="R114" s="114">
        <v>8.1</v>
      </c>
      <c r="S114" s="114">
        <v>5.5</v>
      </c>
      <c r="T114" s="114">
        <v>-4.5999999999999996</v>
      </c>
      <c r="U114" s="114">
        <v>4.3</v>
      </c>
      <c r="V114" s="114">
        <v>1.1000000000000001</v>
      </c>
      <c r="W114" s="114">
        <v>13</v>
      </c>
      <c r="X114" s="114">
        <v>14</v>
      </c>
      <c r="Y114" s="114">
        <v>24.3</v>
      </c>
      <c r="Z114" s="114">
        <v>12</v>
      </c>
      <c r="AA114" s="114">
        <v>5.6</v>
      </c>
      <c r="AB114" s="114">
        <v>1</v>
      </c>
      <c r="AC114" s="114">
        <v>2.4</v>
      </c>
      <c r="AD114" s="114">
        <v>-7</v>
      </c>
      <c r="AE114" s="114">
        <v>-12</v>
      </c>
      <c r="AF114" s="114">
        <v>-13.5</v>
      </c>
      <c r="AG114" s="113">
        <v>60</v>
      </c>
      <c r="AH114" s="47">
        <f t="shared" si="8"/>
        <v>24.3</v>
      </c>
      <c r="AI114" s="48">
        <f t="shared" si="9"/>
        <v>-13.5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8"/>
        <v>0</v>
      </c>
      <c r="AI115" s="48">
        <f t="shared" si="9"/>
        <v>0</v>
      </c>
    </row>
    <row r="116" spans="1:37" x14ac:dyDescent="0.25">
      <c r="A116" s="115" t="s">
        <v>124</v>
      </c>
      <c r="B116" s="116">
        <v>32.799999999999997</v>
      </c>
      <c r="C116" s="116">
        <v>40.4</v>
      </c>
      <c r="D116" s="116">
        <v>20.7</v>
      </c>
      <c r="E116" s="116">
        <v>20.7</v>
      </c>
      <c r="F116" s="116">
        <v>20.7</v>
      </c>
      <c r="G116" s="116">
        <v>80</v>
      </c>
      <c r="H116" s="116">
        <v>58.2</v>
      </c>
      <c r="I116" s="116">
        <v>58.2</v>
      </c>
      <c r="J116" s="116">
        <v>80.8</v>
      </c>
      <c r="K116" s="116">
        <v>76.099999999999994</v>
      </c>
      <c r="L116" s="116">
        <v>64.5</v>
      </c>
      <c r="M116" s="116">
        <v>55.5</v>
      </c>
      <c r="N116" s="116">
        <v>41.5</v>
      </c>
      <c r="O116" s="116">
        <v>73.7</v>
      </c>
      <c r="P116" s="116">
        <v>31.3</v>
      </c>
      <c r="Q116" s="116">
        <v>8.1</v>
      </c>
      <c r="R116" s="116">
        <v>17.8</v>
      </c>
      <c r="S116" s="116">
        <v>46.2</v>
      </c>
      <c r="T116" s="116">
        <v>-19.2</v>
      </c>
      <c r="U116" s="116">
        <v>10.8</v>
      </c>
      <c r="V116" s="116">
        <v>-12</v>
      </c>
      <c r="W116" s="116">
        <v>8</v>
      </c>
      <c r="X116" s="116">
        <v>41</v>
      </c>
      <c r="Y116" s="116">
        <v>48.3</v>
      </c>
      <c r="Z116" s="116">
        <v>35</v>
      </c>
      <c r="AA116" s="116">
        <v>31.6</v>
      </c>
      <c r="AB116" s="116">
        <v>28.1</v>
      </c>
      <c r="AC116" s="116">
        <v>25</v>
      </c>
      <c r="AD116" s="116">
        <v>36</v>
      </c>
      <c r="AE116" s="116">
        <v>-9</v>
      </c>
      <c r="AF116" s="116">
        <v>46</v>
      </c>
      <c r="AG116" s="117"/>
      <c r="AH116" s="47">
        <f t="shared" si="8"/>
        <v>80.8</v>
      </c>
      <c r="AI116" s="48">
        <f t="shared" si="9"/>
        <v>-19.2</v>
      </c>
    </row>
    <row r="117" spans="1:37" x14ac:dyDescent="0.25">
      <c r="A117" s="115" t="s">
        <v>125</v>
      </c>
      <c r="B117" s="116">
        <v>10.7</v>
      </c>
      <c r="C117" s="116">
        <v>10</v>
      </c>
      <c r="D117" s="116">
        <v>-6.5</v>
      </c>
      <c r="E117" s="116">
        <v>-5.2</v>
      </c>
      <c r="F117" s="116">
        <v>-5.0999999999999996</v>
      </c>
      <c r="G117" s="116">
        <v>-5</v>
      </c>
      <c r="H117" s="116">
        <v>-7.1</v>
      </c>
      <c r="I117" s="116">
        <v>-7.1</v>
      </c>
      <c r="J117" s="116">
        <v>-15.5</v>
      </c>
      <c r="K117" s="116">
        <v>-15.1</v>
      </c>
      <c r="L117" s="116">
        <v>-17.7</v>
      </c>
      <c r="M117" s="116">
        <v>-25.2</v>
      </c>
      <c r="N117" s="116">
        <v>-25</v>
      </c>
      <c r="O117" s="116">
        <v>-23.6</v>
      </c>
      <c r="P117" s="116">
        <v>-36.200000000000003</v>
      </c>
      <c r="Q117" s="116">
        <v>-37.6</v>
      </c>
      <c r="R117" s="116">
        <v>-39.799999999999997</v>
      </c>
      <c r="S117" s="116">
        <v>-31</v>
      </c>
      <c r="T117" s="116">
        <v>-68</v>
      </c>
      <c r="U117" s="116">
        <v>-69</v>
      </c>
      <c r="V117" s="116">
        <v>-70</v>
      </c>
      <c r="W117" s="116">
        <v>-59</v>
      </c>
      <c r="X117" s="116">
        <v>-47</v>
      </c>
      <c r="Y117" s="116">
        <v>-53</v>
      </c>
      <c r="Z117" s="116">
        <v>-59</v>
      </c>
      <c r="AA117" s="116">
        <v>-56</v>
      </c>
      <c r="AB117" s="116">
        <v>-42.5</v>
      </c>
      <c r="AC117" s="116">
        <v>-38</v>
      </c>
      <c r="AD117" s="116">
        <v>-34</v>
      </c>
      <c r="AE117" s="116">
        <v>-34</v>
      </c>
      <c r="AF117" s="116">
        <v>-15</v>
      </c>
      <c r="AG117" s="118"/>
      <c r="AH117" s="47">
        <f t="shared" si="8"/>
        <v>10.7</v>
      </c>
      <c r="AI117" s="48">
        <f t="shared" si="9"/>
        <v>-70</v>
      </c>
    </row>
    <row r="118" spans="1:37" x14ac:dyDescent="0.25">
      <c r="A118" s="119" t="s">
        <v>126</v>
      </c>
      <c r="B118" s="105">
        <v>85.6</v>
      </c>
      <c r="C118" s="105">
        <v>85.6</v>
      </c>
      <c r="D118" s="105">
        <v>87.2</v>
      </c>
      <c r="E118" s="105">
        <v>87</v>
      </c>
      <c r="F118" s="105">
        <v>87</v>
      </c>
      <c r="G118" s="105">
        <v>85</v>
      </c>
      <c r="H118" s="105">
        <v>83.7</v>
      </c>
      <c r="I118" s="105">
        <v>83.7</v>
      </c>
      <c r="J118" s="105">
        <v>80.599999999999994</v>
      </c>
      <c r="K118" s="105">
        <v>78.900000000000006</v>
      </c>
      <c r="L118" s="105">
        <v>61.2</v>
      </c>
      <c r="M118" s="105">
        <v>66.8</v>
      </c>
      <c r="N118" s="105">
        <v>61.4</v>
      </c>
      <c r="O118" s="105">
        <v>64</v>
      </c>
      <c r="P118" s="105">
        <v>70.2</v>
      </c>
      <c r="Q118" s="105">
        <v>72.900000000000006</v>
      </c>
      <c r="R118" s="105">
        <v>71</v>
      </c>
      <c r="S118" s="105">
        <v>72.3</v>
      </c>
      <c r="T118" s="105">
        <v>41.5</v>
      </c>
      <c r="U118" s="105">
        <v>63.1</v>
      </c>
      <c r="V118" s="105">
        <v>68</v>
      </c>
      <c r="W118" s="105">
        <v>62</v>
      </c>
      <c r="X118" s="105">
        <v>51</v>
      </c>
      <c r="Y118" s="105">
        <v>51</v>
      </c>
      <c r="Z118" s="105">
        <v>56</v>
      </c>
      <c r="AA118" s="105">
        <v>58</v>
      </c>
      <c r="AB118" s="105">
        <v>56.8</v>
      </c>
      <c r="AC118" s="105">
        <v>55</v>
      </c>
      <c r="AD118" s="105">
        <v>63</v>
      </c>
      <c r="AE118" s="105">
        <v>65</v>
      </c>
      <c r="AF118" s="105">
        <v>74</v>
      </c>
      <c r="AG118" s="118"/>
      <c r="AH118" s="47">
        <f t="shared" si="8"/>
        <v>87.2</v>
      </c>
      <c r="AI118" s="48">
        <f t="shared" si="9"/>
        <v>41.5</v>
      </c>
    </row>
    <row r="119" spans="1:37" x14ac:dyDescent="0.25">
      <c r="A119" s="120" t="s">
        <v>127</v>
      </c>
      <c r="B119" s="105">
        <v>63.8</v>
      </c>
      <c r="C119" s="105">
        <v>60.3</v>
      </c>
      <c r="D119" s="105">
        <v>66</v>
      </c>
      <c r="E119" s="105">
        <v>71</v>
      </c>
      <c r="F119" s="105">
        <v>65</v>
      </c>
      <c r="G119" s="105">
        <v>50</v>
      </c>
      <c r="H119" s="105">
        <v>52</v>
      </c>
      <c r="I119" s="105">
        <v>52</v>
      </c>
      <c r="J119" s="105">
        <v>45.6</v>
      </c>
      <c r="K119" s="105">
        <v>43.7</v>
      </c>
      <c r="L119" s="105">
        <v>53.7</v>
      </c>
      <c r="M119" s="105">
        <v>60.3</v>
      </c>
      <c r="N119" s="105">
        <v>68.5</v>
      </c>
      <c r="O119" s="105">
        <v>54.2</v>
      </c>
      <c r="P119" s="105">
        <v>75.3</v>
      </c>
      <c r="Q119" s="105">
        <v>86.4</v>
      </c>
      <c r="R119" s="105">
        <v>80.5</v>
      </c>
      <c r="S119" s="105">
        <v>66.2</v>
      </c>
      <c r="T119" s="105">
        <v>92.4</v>
      </c>
      <c r="U119" s="105">
        <v>73.7</v>
      </c>
      <c r="V119" s="105">
        <v>84</v>
      </c>
      <c r="W119" s="105">
        <v>69</v>
      </c>
      <c r="X119" s="105">
        <v>59</v>
      </c>
      <c r="Y119" s="105">
        <v>63</v>
      </c>
      <c r="Z119" s="105">
        <v>73</v>
      </c>
      <c r="AA119" s="105">
        <v>76.3</v>
      </c>
      <c r="AB119" s="105">
        <v>77</v>
      </c>
      <c r="AC119" s="105">
        <v>82</v>
      </c>
      <c r="AD119" s="105">
        <v>76</v>
      </c>
      <c r="AE119" s="105">
        <v>90</v>
      </c>
      <c r="AF119" s="105">
        <v>78</v>
      </c>
      <c r="AG119" s="118"/>
      <c r="AH119" s="47">
        <f t="shared" si="8"/>
        <v>92.4</v>
      </c>
      <c r="AI119" s="48">
        <f t="shared" si="9"/>
        <v>43.7</v>
      </c>
    </row>
    <row r="120" spans="1:37" ht="15.75" thickBot="1" x14ac:dyDescent="0.3">
      <c r="A120" s="119" t="s">
        <v>128</v>
      </c>
      <c r="B120" s="105">
        <v>-25</v>
      </c>
      <c r="C120" s="105">
        <v>-30</v>
      </c>
      <c r="D120" s="105">
        <v>-31</v>
      </c>
      <c r="E120" s="105">
        <v>-35</v>
      </c>
      <c r="F120" s="105">
        <v>-37</v>
      </c>
      <c r="G120" s="105">
        <v>-35.5</v>
      </c>
      <c r="H120" s="105">
        <v>-35.4</v>
      </c>
      <c r="I120" s="105">
        <v>-35.4</v>
      </c>
      <c r="J120" s="105">
        <v>-35.4</v>
      </c>
      <c r="K120" s="105">
        <v>-25.1</v>
      </c>
      <c r="L120" s="105">
        <v>-29.6</v>
      </c>
      <c r="M120" s="105">
        <v>-11.9</v>
      </c>
      <c r="N120" s="105">
        <v>-19</v>
      </c>
      <c r="O120" s="105">
        <v>-17.600000000000001</v>
      </c>
      <c r="P120" s="105">
        <v>-6.3</v>
      </c>
      <c r="Q120" s="105">
        <v>-9.1</v>
      </c>
      <c r="R120" s="105">
        <v>-1.7</v>
      </c>
      <c r="S120" s="105">
        <v>-8</v>
      </c>
      <c r="T120" s="105">
        <v>10.199999999999999</v>
      </c>
      <c r="U120" s="105">
        <v>-10.1</v>
      </c>
      <c r="V120" s="105">
        <v>-18</v>
      </c>
      <c r="W120" s="105">
        <v>-9</v>
      </c>
      <c r="X120" s="105">
        <v>-1.5</v>
      </c>
      <c r="Y120" s="105">
        <v>6.2</v>
      </c>
      <c r="Z120" s="105">
        <v>-3</v>
      </c>
      <c r="AA120" s="105">
        <v>-9</v>
      </c>
      <c r="AB120" s="105">
        <v>-9.3000000000000007</v>
      </c>
      <c r="AC120" s="105">
        <v>-1</v>
      </c>
      <c r="AD120" s="105">
        <v>-4</v>
      </c>
      <c r="AE120" s="105">
        <v>-7.5</v>
      </c>
      <c r="AF120" s="105">
        <v>-20</v>
      </c>
      <c r="AG120" s="118"/>
      <c r="AH120" s="47">
        <f t="shared" si="8"/>
        <v>10.199999999999999</v>
      </c>
      <c r="AI120" s="48">
        <f t="shared" si="9"/>
        <v>-37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2127.34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19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2080/06/19)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2080/06/19)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2043.64</v>
      </c>
      <c r="U249" s="170">
        <f t="shared" si="22"/>
        <v>2043.64</v>
      </c>
      <c r="V249" s="170">
        <f t="shared" si="22"/>
        <v>2026.64</v>
      </c>
      <c r="W249" s="170">
        <f t="shared" si="22"/>
        <v>1988.3400000000001</v>
      </c>
      <c r="X249" s="170">
        <f t="shared" si="22"/>
        <v>1988.3400000000001</v>
      </c>
      <c r="Y249" s="170">
        <f t="shared" si="22"/>
        <v>1980.3400000000001</v>
      </c>
      <c r="Z249" s="170">
        <f t="shared" si="22"/>
        <v>1988.3400000000001</v>
      </c>
      <c r="AA249" s="170">
        <f t="shared" si="22"/>
        <v>2002.3400000000001</v>
      </c>
      <c r="AB249" s="170">
        <f t="shared" si="22"/>
        <v>2034.3400000000001</v>
      </c>
      <c r="AC249" s="170">
        <f t="shared" si="22"/>
        <v>2091.34</v>
      </c>
      <c r="AD249" s="170">
        <f t="shared" si="22"/>
        <v>2127.34</v>
      </c>
      <c r="AE249" s="170">
        <f t="shared" si="22"/>
        <v>2124.64</v>
      </c>
      <c r="AF249" s="170">
        <f t="shared" si="22"/>
        <v>2110.2399999999998</v>
      </c>
      <c r="AG249" s="170">
        <f t="shared" si="22"/>
        <v>2098.34</v>
      </c>
      <c r="AH249" s="170">
        <f t="shared" si="22"/>
        <v>2112.64</v>
      </c>
      <c r="AI249" s="170">
        <f t="shared" si="22"/>
        <v>2102.94</v>
      </c>
      <c r="AJ249" s="170">
        <f t="shared" si="22"/>
        <v>2074.04</v>
      </c>
      <c r="AK249" s="170">
        <f t="shared" si="22"/>
        <v>2065.34</v>
      </c>
      <c r="AL249" s="170">
        <f t="shared" si="22"/>
        <v>2136.2400000000002</v>
      </c>
      <c r="AM249" s="170">
        <f t="shared" si="22"/>
        <v>2080.44</v>
      </c>
      <c r="AN249" s="170">
        <f t="shared" si="22"/>
        <v>2109.64</v>
      </c>
      <c r="AO249" s="170">
        <f t="shared" si="22"/>
        <v>2115.14</v>
      </c>
      <c r="AP249" s="170">
        <f t="shared" si="22"/>
        <v>2184.1400000000003</v>
      </c>
      <c r="AQ249" s="170">
        <f t="shared" si="22"/>
        <v>2216.2399999999998</v>
      </c>
      <c r="AR249" s="170">
        <f t="shared" si="22"/>
        <v>2189.44</v>
      </c>
      <c r="AS249" s="170">
        <f t="shared" si="22"/>
        <v>2176.1400000000003</v>
      </c>
      <c r="AT249" s="170">
        <f t="shared" si="22"/>
        <v>2168.14</v>
      </c>
      <c r="AU249" s="170">
        <f t="shared" si="22"/>
        <v>2163.84</v>
      </c>
      <c r="AV249" s="170">
        <f t="shared" si="22"/>
        <v>2110.84</v>
      </c>
      <c r="AW249" s="170">
        <f t="shared" si="22"/>
        <v>2095.2400000000002</v>
      </c>
      <c r="AX249" s="170">
        <f t="shared" si="22"/>
        <v>2079.94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651" priority="64">
      <formula>$AH11=0</formula>
    </cfRule>
  </conditionalFormatting>
  <conditionalFormatting sqref="B8 M8 S8 AB8">
    <cfRule type="expression" dxfId="1650" priority="115">
      <formula>AND(C$9&gt;=14/24,C$9&lt;20/24)</formula>
    </cfRule>
    <cfRule type="expression" dxfId="1649" priority="116">
      <formula>AND(C$9&gt;=8/24,C$9&lt;14/24)</formula>
    </cfRule>
    <cfRule type="expression" dxfId="1648" priority="117">
      <formula>C$9&lt;8/24</formula>
    </cfRule>
  </conditionalFormatting>
  <conditionalFormatting sqref="B54:C54">
    <cfRule type="expression" dxfId="1647" priority="38">
      <formula>B$9&gt;=20/24</formula>
    </cfRule>
    <cfRule type="expression" dxfId="1646" priority="39">
      <formula>AND(B$9&gt;=14/24,B$9&lt;20/24)</formula>
    </cfRule>
    <cfRule type="expression" dxfId="1645" priority="40">
      <formula>AND(B$9&gt;=8/24,B$9&lt;14/24)</formula>
    </cfRule>
    <cfRule type="expression" dxfId="1644" priority="41">
      <formula>B$9&lt;8/24</formula>
    </cfRule>
  </conditionalFormatting>
  <conditionalFormatting sqref="B54:C66 D55:L66 M61:N66">
    <cfRule type="expression" dxfId="1643" priority="33">
      <formula>B54&gt;$AG54</formula>
    </cfRule>
  </conditionalFormatting>
  <conditionalFormatting sqref="B55:L59">
    <cfRule type="expression" dxfId="1642" priority="60">
      <formula>B$9&gt;=20/24</formula>
    </cfRule>
    <cfRule type="expression" dxfId="1641" priority="61">
      <formula>AND(B$9&gt;=14/24,B$9&lt;20/24)</formula>
    </cfRule>
    <cfRule type="expression" dxfId="1640" priority="62">
      <formula>AND(B$9&gt;=8/24,B$9&lt;14/24)</formula>
    </cfRule>
    <cfRule type="expression" dxfId="1639" priority="63">
      <formula>B$9&lt;8/24</formula>
    </cfRule>
  </conditionalFormatting>
  <conditionalFormatting sqref="B60:X60">
    <cfRule type="expression" dxfId="1638" priority="51">
      <formula>B$9&gt;=20/24</formula>
    </cfRule>
    <cfRule type="expression" dxfId="1637" priority="52">
      <formula>AND(B$9&gt;=14/24,B$9&lt;20/24)</formula>
    </cfRule>
    <cfRule type="expression" dxfId="1636" priority="53">
      <formula>AND(B$9&gt;=8/24,B$9&lt;14/24)</formula>
    </cfRule>
    <cfRule type="expression" dxfId="1635" priority="54">
      <formula>B$9&lt;8/24</formula>
    </cfRule>
  </conditionalFormatting>
  <conditionalFormatting sqref="B61:AF66">
    <cfRule type="expression" dxfId="1634" priority="34">
      <formula>B$9&gt;=20/24</formula>
    </cfRule>
    <cfRule type="expression" dxfId="1633" priority="35">
      <formula>AND(B$9&gt;=14/24,B$9&lt;20/24)</formula>
    </cfRule>
    <cfRule type="expression" dxfId="1632" priority="36">
      <formula>AND(B$9&gt;=8/24,B$9&lt;14/24)</formula>
    </cfRule>
    <cfRule type="expression" dxfId="1631" priority="37">
      <formula>B$9&lt;8/24</formula>
    </cfRule>
  </conditionalFormatting>
  <conditionalFormatting sqref="B9:AF45">
    <cfRule type="expression" dxfId="1630" priority="23">
      <formula>B$9&gt;=20/24</formula>
    </cfRule>
    <cfRule type="expression" dxfId="1629" priority="24">
      <formula>AND(B$9&gt;=14/24,B$9&lt;20/24)</formula>
    </cfRule>
    <cfRule type="expression" dxfId="1628" priority="25">
      <formula>AND(B$9&gt;=8/24,B$9&lt;14/24)</formula>
    </cfRule>
    <cfRule type="expression" dxfId="1627" priority="26">
      <formula>B$9&lt;8/24</formula>
    </cfRule>
  </conditionalFormatting>
  <conditionalFormatting sqref="B11:AF46">
    <cfRule type="expression" dxfId="1626" priority="22">
      <formula>B11&gt;$AG11</formula>
    </cfRule>
  </conditionalFormatting>
  <conditionalFormatting sqref="B46:AF46">
    <cfRule type="expression" dxfId="1625" priority="18">
      <formula>B$9&gt;=20/24</formula>
    </cfRule>
    <cfRule type="expression" dxfId="1624" priority="19">
      <formula>AND(B$9&gt;=14/24,B$9&lt;20/24)</formula>
    </cfRule>
    <cfRule type="expression" dxfId="1623" priority="20">
      <formula>AND(B$9&gt;=8/24,B$9&lt;14/24)</formula>
    </cfRule>
    <cfRule type="expression" dxfId="1622" priority="21">
      <formula>B$9&lt;8/24</formula>
    </cfRule>
  </conditionalFormatting>
  <conditionalFormatting sqref="B47:AF47">
    <cfRule type="expression" dxfId="1621" priority="32">
      <formula>B47&gt;$AG47</formula>
    </cfRule>
  </conditionalFormatting>
  <conditionalFormatting sqref="B47:AF49">
    <cfRule type="expression" dxfId="1620" priority="28">
      <formula>B$9&gt;=20/24</formula>
    </cfRule>
    <cfRule type="expression" dxfId="1619" priority="29">
      <formula>AND(B$9&gt;=14/24,B$9&lt;20/24)</formula>
    </cfRule>
    <cfRule type="expression" dxfId="1618" priority="30">
      <formula>AND(B$9&gt;=8/24,B$9&lt;14/24)</formula>
    </cfRule>
    <cfRule type="expression" dxfId="1617" priority="31">
      <formula>B$9&lt;8/24</formula>
    </cfRule>
  </conditionalFormatting>
  <conditionalFormatting sqref="B48:AF53">
    <cfRule type="expression" dxfId="1616" priority="27">
      <formula>B48&gt;$AG48</formula>
    </cfRule>
  </conditionalFormatting>
  <conditionalFormatting sqref="B51:AF53">
    <cfRule type="expression" dxfId="1615" priority="47">
      <formula>B$9&gt;=20/24</formula>
    </cfRule>
    <cfRule type="expression" dxfId="1614" priority="48">
      <formula>AND(B$9&gt;=14/24,B$9&lt;20/24)</formula>
    </cfRule>
    <cfRule type="expression" dxfId="1613" priority="49">
      <formula>AND(B$9&gt;=8/24,B$9&lt;14/24)</formula>
    </cfRule>
    <cfRule type="expression" dxfId="1612" priority="50">
      <formula>B$9&lt;8/24</formula>
    </cfRule>
  </conditionalFormatting>
  <conditionalFormatting sqref="B69:AF71">
    <cfRule type="expression" dxfId="1611" priority="55">
      <formula>B69&gt;$AG69</formula>
    </cfRule>
    <cfRule type="expression" dxfId="1610" priority="56">
      <formula>B$9&gt;=20/24</formula>
    </cfRule>
    <cfRule type="expression" dxfId="1609" priority="57">
      <formula>AND(B$9&gt;=14/24,B$9&lt;20/24)</formula>
    </cfRule>
    <cfRule type="expression" dxfId="1608" priority="58">
      <formula>AND(B$9&gt;=8/24,B$9&lt;14/24)</formula>
    </cfRule>
    <cfRule type="expression" dxfId="1607" priority="59">
      <formula>B$9&lt;8/24</formula>
    </cfRule>
  </conditionalFormatting>
  <conditionalFormatting sqref="B73:AF91">
    <cfRule type="expression" dxfId="1606" priority="1">
      <formula>B$9&gt;=20/24</formula>
    </cfRule>
    <cfRule type="expression" dxfId="1605" priority="2">
      <formula>AND(B$9&gt;=14/24,B$9&lt;20/24)</formula>
    </cfRule>
    <cfRule type="expression" dxfId="1604" priority="3">
      <formula>AND(B$9&gt;=8/24,B$9&lt;14/24)</formula>
    </cfRule>
    <cfRule type="expression" dxfId="1603" priority="4">
      <formula>B$9&lt;8/24</formula>
    </cfRule>
  </conditionalFormatting>
  <conditionalFormatting sqref="B111:AF120">
    <cfRule type="expression" dxfId="1602" priority="14">
      <formula>B$9&gt;=20/24</formula>
    </cfRule>
    <cfRule type="expression" dxfId="1601" priority="15">
      <formula>AND(B$9&gt;=14/24,B$9&lt;20/24)</formula>
    </cfRule>
    <cfRule type="expression" dxfId="1600" priority="16">
      <formula>AND(B$9&gt;=8/24,B$9&lt;14/24)</formula>
    </cfRule>
    <cfRule type="expression" dxfId="1599" priority="17">
      <formula>B$9&lt;8/24</formula>
    </cfRule>
  </conditionalFormatting>
  <conditionalFormatting sqref="B227:AF227 D229:AF230 B229:B235 D231:H231 J231:AF231 D232:AF235 U248:AF248">
    <cfRule type="expression" dxfId="1598" priority="108">
      <formula>B$9&gt;=20/24</formula>
    </cfRule>
    <cfRule type="expression" dxfId="1597" priority="109">
      <formula>AND(B$9&gt;=14/24,B$9&lt;20/24)</formula>
    </cfRule>
    <cfRule type="expression" dxfId="1596" priority="110">
      <formula>AND(B$9&gt;=8/24,B$9&lt;14/24)</formula>
    </cfRule>
    <cfRule type="expression" dxfId="1595" priority="111">
      <formula>B$9&lt;8/24</formula>
    </cfRule>
  </conditionalFormatting>
  <conditionalFormatting sqref="B67:AG68 B72:AG72">
    <cfRule type="expression" dxfId="1594" priority="42">
      <formula>B67&gt;$AG67</formula>
    </cfRule>
  </conditionalFormatting>
  <conditionalFormatting sqref="B72:AG72 B93:AF109">
    <cfRule type="expression" dxfId="1593" priority="43">
      <formula>B$9&gt;=20/24</formula>
    </cfRule>
    <cfRule type="expression" dxfId="1592" priority="44">
      <formula>AND(B$9&gt;=14/24,B$9&lt;20/24)</formula>
    </cfRule>
    <cfRule type="expression" dxfId="1591" priority="45">
      <formula>AND(B$9&gt;=8/24,B$9&lt;14/24)</formula>
    </cfRule>
    <cfRule type="expression" dxfId="1590" priority="46">
      <formula>B$9&lt;8/24</formula>
    </cfRule>
  </conditionalFormatting>
  <conditionalFormatting sqref="M55:AF66">
    <cfRule type="expression" dxfId="1589" priority="5">
      <formula>M55&gt;$AG55</formula>
    </cfRule>
  </conditionalFormatting>
  <conditionalFormatting sqref="D54:AG54">
    <cfRule type="expression" dxfId="1588" priority="76">
      <formula>D54&gt;$AG54</formula>
    </cfRule>
    <cfRule type="expression" dxfId="1587" priority="77">
      <formula>D$9&gt;=20/24</formula>
    </cfRule>
    <cfRule type="expression" dxfId="1586" priority="78">
      <formula>AND(D$9&gt;=14/24,D$9&lt;20/24)</formula>
    </cfRule>
    <cfRule type="expression" dxfId="1585" priority="79">
      <formula>AND(D$9&gt;=8/24,D$9&lt;14/24)</formula>
    </cfRule>
    <cfRule type="expression" dxfId="1584" priority="80">
      <formula>D$9&lt;8/24</formula>
    </cfRule>
  </conditionalFormatting>
  <conditionalFormatting sqref="M55:X59">
    <cfRule type="expression" dxfId="1583" priority="93">
      <formula>M$9&gt;=20/24</formula>
    </cfRule>
    <cfRule type="expression" dxfId="1582" priority="94">
      <formula>AND(M$9&gt;=14/24,M$9&lt;20/24)</formula>
    </cfRule>
    <cfRule type="expression" dxfId="1581" priority="95">
      <formula>AND(M$9&gt;=8/24,M$9&lt;14/24)</formula>
    </cfRule>
    <cfRule type="expression" dxfId="1580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579" priority="114">
      <formula>C$9&gt;=20/24</formula>
    </cfRule>
  </conditionalFormatting>
  <conditionalFormatting sqref="S8">
    <cfRule type="expression" dxfId="1578" priority="101">
      <formula>U$9&gt;=20/24</formula>
    </cfRule>
    <cfRule type="expression" dxfId="1577" priority="102">
      <formula>AND(U$9&gt;=14/24,U$9&lt;20/24)</formula>
    </cfRule>
    <cfRule type="expression" dxfId="1576" priority="103">
      <formula>AND(U$9&gt;=8/24,U$9&lt;14/24)</formula>
    </cfRule>
    <cfRule type="expression" dxfId="1575" priority="104">
      <formula>U$9&lt;8/24</formula>
    </cfRule>
  </conditionalFormatting>
  <conditionalFormatting sqref="S55:AF60">
    <cfRule type="expression" dxfId="1574" priority="10">
      <formula>S$9&gt;=20/24</formula>
    </cfRule>
    <cfRule type="expression" dxfId="1573" priority="11">
      <formula>AND(S$9&gt;=14/24,S$9&lt;20/24)</formula>
    </cfRule>
    <cfRule type="expression" dxfId="1572" priority="12">
      <formula>AND(S$9&gt;=8/24,S$9&lt;14/24)</formula>
    </cfRule>
    <cfRule type="expression" dxfId="1571" priority="13">
      <formula>S$9&lt;8/24</formula>
    </cfRule>
  </conditionalFormatting>
  <conditionalFormatting sqref="T248">
    <cfRule type="expression" dxfId="1570" priority="126">
      <formula>AX$9&gt;=20/24</formula>
    </cfRule>
    <cfRule type="expression" dxfId="1569" priority="127">
      <formula>AND(AX$9&gt;=14/24,AX$9&lt;20/24)</formula>
    </cfRule>
    <cfRule type="expression" dxfId="1568" priority="128">
      <formula>AND(AX$9&gt;=8/24,AX$9&lt;14/24)</formula>
    </cfRule>
    <cfRule type="expression" dxfId="1567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566" priority="97">
      <formula>AD$9&gt;=20/24</formula>
    </cfRule>
    <cfRule type="expression" dxfId="1565" priority="98">
      <formula>AND(AD$9&gt;=14/24,AD$9&lt;20/24)</formula>
    </cfRule>
    <cfRule type="expression" dxfId="1564" priority="99">
      <formula>AND(AD$9&gt;=8/24,AD$9&lt;14/24)</formula>
    </cfRule>
    <cfRule type="expression" dxfId="1563" priority="100">
      <formula>AD$9&lt;8/24</formula>
    </cfRule>
  </conditionalFormatting>
  <conditionalFormatting sqref="AG50">
    <cfRule type="expression" dxfId="1562" priority="84">
      <formula>AG50&gt;$AG50</formula>
    </cfRule>
  </conditionalFormatting>
  <conditionalFormatting sqref="AG89">
    <cfRule type="expression" dxfId="1561" priority="85">
      <formula>AG$9&gt;=20/24</formula>
    </cfRule>
    <cfRule type="expression" dxfId="1560" priority="86">
      <formula>AND(AG$9&gt;=14/24,AG$9&lt;20/24)</formula>
    </cfRule>
    <cfRule type="expression" dxfId="1559" priority="87">
      <formula>AND(AG$9&gt;=8/24,AG$9&lt;14/24)</formula>
    </cfRule>
    <cfRule type="expression" dxfId="1558" priority="88">
      <formula>AG$9&lt;8/24</formula>
    </cfRule>
  </conditionalFormatting>
  <conditionalFormatting sqref="AG248">
    <cfRule type="expression" dxfId="1557" priority="118">
      <formula>B$9&gt;=20/24</formula>
    </cfRule>
    <cfRule type="expression" dxfId="1556" priority="119">
      <formula>AND(B$9&gt;=14/24,B$9&lt;20/24)</formula>
    </cfRule>
    <cfRule type="expression" dxfId="1555" priority="120">
      <formula>AND(B$9&gt;=8/24,B$9&lt;14/24)</formula>
    </cfRule>
    <cfRule type="expression" dxfId="1554" priority="121">
      <formula>B$9&lt;8/24</formula>
    </cfRule>
  </conditionalFormatting>
  <conditionalFormatting sqref="AH248:AX248">
    <cfRule type="expression" dxfId="1553" priority="122">
      <formula>AG$9&gt;=20/24</formula>
    </cfRule>
    <cfRule type="expression" dxfId="1552" priority="123">
      <formula>AND(AG$9&gt;=14/24,AG$9&lt;20/24)</formula>
    </cfRule>
    <cfRule type="expression" dxfId="1551" priority="124">
      <formula>AND(AG$9&gt;=8/24,AG$9&lt;14/24)</formula>
    </cfRule>
    <cfRule type="expression" dxfId="1550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549" priority="131">
      <formula>AJ$9&gt;=20/24</formula>
    </cfRule>
    <cfRule type="expression" dxfId="1548" priority="132">
      <formula>AND(AJ$9&gt;=14/24,AJ$9&lt;20/24)</formula>
    </cfRule>
    <cfRule type="expression" dxfId="1547" priority="133">
      <formula>AND(AJ$9&gt;=8/24,AJ$9&lt;14/24)</formula>
    </cfRule>
    <cfRule type="expression" dxfId="1546" priority="134">
      <formula>AJ$9&lt;8/24</formula>
    </cfRule>
  </conditionalFormatting>
  <conditionalFormatting sqref="AL80:AN80 AL86:AN86">
    <cfRule type="expression" dxfId="1545" priority="72">
      <formula>AL$9&gt;=20/24</formula>
    </cfRule>
    <cfRule type="expression" dxfId="1544" priority="73">
      <formula>AND(AL$9&gt;=14/24,AL$9&lt;20/24)</formula>
    </cfRule>
    <cfRule type="expression" dxfId="1543" priority="74">
      <formula>AND(AL$9&gt;=8/24,AL$9&lt;14/24)</formula>
    </cfRule>
    <cfRule type="expression" dxfId="1542" priority="75">
      <formula>AL$9&lt;8/24</formula>
    </cfRule>
  </conditionalFormatting>
  <conditionalFormatting sqref="AN81:AN84">
    <cfRule type="expression" dxfId="1541" priority="68">
      <formula>AN$9&gt;=20/24</formula>
    </cfRule>
    <cfRule type="expression" dxfId="1540" priority="69">
      <formula>AND(AN$9&gt;=14/24,AN$9&lt;20/24)</formula>
    </cfRule>
    <cfRule type="expression" dxfId="1539" priority="70">
      <formula>AND(AN$9&gt;=8/24,AN$9&lt;14/24)</formula>
    </cfRule>
    <cfRule type="expression" dxfId="1538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52BF-4C57-4A5F-8007-1ADD3E8ABC98}">
  <sheetPr codeName="Sheet44"/>
  <dimension ref="A1:CJ281"/>
  <sheetViews>
    <sheetView workbookViewId="0">
      <pane xSplit="1" ySplit="10" topLeftCell="O10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D121" sqref="AD121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2080/06/20</v>
      </c>
      <c r="C4" s="201"/>
      <c r="D4" s="201"/>
      <c r="E4" s="202" t="str">
        <f ca="1">"2080/"&amp;"06/"&amp;INT(MID(CELL("filename",G6),FIND("]",CELL("filename",G6))+1,200))</f>
        <v>2080/06/20</v>
      </c>
      <c r="F4" s="202"/>
      <c r="G4" s="202"/>
      <c r="H4" s="202" t="str">
        <f ca="1">TEXT(E4,"dddd")</f>
        <v>Thursday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2116MW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2042.04</v>
      </c>
      <c r="C7" s="35">
        <f t="shared" si="1"/>
        <v>2034.3400000000001</v>
      </c>
      <c r="D7" s="35">
        <f t="shared" si="1"/>
        <v>2018.9399999999998</v>
      </c>
      <c r="E7" s="35">
        <f t="shared" si="1"/>
        <v>2004.19</v>
      </c>
      <c r="F7" s="35">
        <f t="shared" si="1"/>
        <v>1994.19</v>
      </c>
      <c r="G7" s="35">
        <f t="shared" si="1"/>
        <v>2016.29</v>
      </c>
      <c r="H7" s="35">
        <f t="shared" si="1"/>
        <v>2006.29</v>
      </c>
      <c r="I7" s="35">
        <f t="shared" si="1"/>
        <v>2029.79</v>
      </c>
      <c r="J7" s="35">
        <f t="shared" si="1"/>
        <v>2032.79</v>
      </c>
      <c r="K7" s="35">
        <f t="shared" si="1"/>
        <v>2043.9900000000002</v>
      </c>
      <c r="L7" s="35">
        <f t="shared" si="1"/>
        <v>2046.7900000000002</v>
      </c>
      <c r="M7" s="35">
        <f t="shared" si="1"/>
        <v>2057.29</v>
      </c>
      <c r="N7" s="35">
        <f>N91</f>
        <v>2116.34</v>
      </c>
      <c r="O7" s="35">
        <f t="shared" si="1"/>
        <v>2107.54</v>
      </c>
      <c r="P7" s="35">
        <f t="shared" si="1"/>
        <v>2057.14</v>
      </c>
      <c r="Q7" s="35">
        <f t="shared" si="1"/>
        <v>2063.3399999999997</v>
      </c>
      <c r="R7" s="35">
        <f t="shared" si="1"/>
        <v>2060.44</v>
      </c>
      <c r="S7" s="35">
        <f t="shared" si="1"/>
        <v>2031.44</v>
      </c>
      <c r="T7" s="35">
        <f t="shared" si="1"/>
        <v>2035.44</v>
      </c>
      <c r="U7" s="35">
        <f t="shared" si="1"/>
        <v>2028.2400000000002</v>
      </c>
      <c r="V7" s="35">
        <f t="shared" si="1"/>
        <v>2067.84</v>
      </c>
      <c r="W7" s="35">
        <f t="shared" si="1"/>
        <v>2075.94</v>
      </c>
      <c r="X7" s="35">
        <f t="shared" si="1"/>
        <v>2151.34</v>
      </c>
      <c r="Y7" s="35">
        <f t="shared" si="1"/>
        <v>2196.44</v>
      </c>
      <c r="Z7" s="35">
        <f t="shared" si="1"/>
        <v>2148.94</v>
      </c>
      <c r="AA7" s="35">
        <f t="shared" si="1"/>
        <v>2164.54</v>
      </c>
      <c r="AB7" s="35">
        <f t="shared" si="1"/>
        <v>3.54</v>
      </c>
      <c r="AC7" s="35">
        <f t="shared" si="1"/>
        <v>2181.1400000000003</v>
      </c>
      <c r="AD7" s="35">
        <f t="shared" si="1"/>
        <v>2127.64</v>
      </c>
      <c r="AE7" s="35">
        <f t="shared" si="1"/>
        <v>2077.44</v>
      </c>
      <c r="AF7" s="35">
        <f t="shared" si="1"/>
        <v>2045.3400000000001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90.4</v>
      </c>
      <c r="C11" s="45">
        <v>90.4</v>
      </c>
      <c r="D11" s="45">
        <v>90.4</v>
      </c>
      <c r="E11" s="45">
        <v>90.4</v>
      </c>
      <c r="F11" s="45">
        <v>90.4</v>
      </c>
      <c r="G11" s="45">
        <v>90.4</v>
      </c>
      <c r="H11" s="45">
        <v>90.4</v>
      </c>
      <c r="I11" s="45">
        <v>90.4</v>
      </c>
      <c r="J11" s="45">
        <v>90.4</v>
      </c>
      <c r="K11" s="45">
        <v>90.4</v>
      </c>
      <c r="L11" s="45">
        <v>90.4</v>
      </c>
      <c r="M11" s="45">
        <v>90.4</v>
      </c>
      <c r="N11" s="45">
        <v>90.4</v>
      </c>
      <c r="O11" s="45">
        <v>90.4</v>
      </c>
      <c r="P11" s="45">
        <v>90.4</v>
      </c>
      <c r="Q11" s="45">
        <v>87.1</v>
      </c>
      <c r="R11" s="45">
        <v>87.1</v>
      </c>
      <c r="S11" s="45">
        <v>87.1</v>
      </c>
      <c r="T11" s="45">
        <v>87.1</v>
      </c>
      <c r="U11" s="45">
        <v>87.1</v>
      </c>
      <c r="V11" s="45">
        <v>87.1</v>
      </c>
      <c r="W11" s="45">
        <v>87.1</v>
      </c>
      <c r="X11" s="45">
        <v>87.1</v>
      </c>
      <c r="Y11" s="45">
        <v>87.1</v>
      </c>
      <c r="Z11" s="45">
        <v>87.1</v>
      </c>
      <c r="AA11" s="45">
        <v>87.1</v>
      </c>
      <c r="AB11" s="45"/>
      <c r="AC11" s="45">
        <v>90.3</v>
      </c>
      <c r="AD11" s="45">
        <v>90.3</v>
      </c>
      <c r="AE11" s="45">
        <v>90.3</v>
      </c>
      <c r="AF11" s="45">
        <v>90.4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87.1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9</v>
      </c>
      <c r="W12" s="45">
        <v>9</v>
      </c>
      <c r="X12" s="45">
        <v>13</v>
      </c>
      <c r="Y12" s="45">
        <v>13</v>
      </c>
      <c r="Z12" s="45">
        <v>13</v>
      </c>
      <c r="AA12" s="45">
        <v>13</v>
      </c>
      <c r="AB12" s="45"/>
      <c r="AC12" s="45">
        <v>13</v>
      </c>
      <c r="AD12" s="45">
        <v>13</v>
      </c>
      <c r="AE12" s="45">
        <v>13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54.2</v>
      </c>
      <c r="C13" s="45">
        <v>54.2</v>
      </c>
      <c r="D13" s="45">
        <v>54.2</v>
      </c>
      <c r="E13" s="45">
        <v>54.2</v>
      </c>
      <c r="F13" s="45">
        <v>54.2</v>
      </c>
      <c r="G13" s="45">
        <v>54.2</v>
      </c>
      <c r="H13" s="45">
        <v>54.2</v>
      </c>
      <c r="I13" s="45">
        <v>54.2</v>
      </c>
      <c r="J13" s="45">
        <v>54.2</v>
      </c>
      <c r="K13" s="45">
        <v>54.2</v>
      </c>
      <c r="L13" s="45">
        <v>54.2</v>
      </c>
      <c r="M13" s="45">
        <v>54.2</v>
      </c>
      <c r="N13" s="45">
        <v>54.2</v>
      </c>
      <c r="O13" s="45">
        <v>54.2</v>
      </c>
      <c r="P13" s="45">
        <v>54.2</v>
      </c>
      <c r="Q13" s="45">
        <v>52.9</v>
      </c>
      <c r="R13" s="45">
        <v>52.9</v>
      </c>
      <c r="S13" s="45">
        <v>52.9</v>
      </c>
      <c r="T13" s="45">
        <v>52.9</v>
      </c>
      <c r="U13" s="45">
        <v>52.9</v>
      </c>
      <c r="V13" s="45">
        <v>52.9</v>
      </c>
      <c r="W13" s="45">
        <v>52.9</v>
      </c>
      <c r="X13" s="45">
        <v>52.9</v>
      </c>
      <c r="Y13" s="45">
        <v>52.9</v>
      </c>
      <c r="Z13" s="45">
        <v>52.9</v>
      </c>
      <c r="AA13" s="45">
        <v>52.9</v>
      </c>
      <c r="AB13" s="45"/>
      <c r="AC13" s="45">
        <v>54.2</v>
      </c>
      <c r="AD13" s="45">
        <v>54.2</v>
      </c>
      <c r="AE13" s="45">
        <v>54.2</v>
      </c>
      <c r="AF13" s="45">
        <v>54.4</v>
      </c>
      <c r="AG13" s="46">
        <v>52.4</v>
      </c>
      <c r="AH13" s="47">
        <f t="shared" si="2"/>
        <v>54.4</v>
      </c>
      <c r="AI13" s="48">
        <f t="shared" si="3"/>
        <v>52.9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50.5</v>
      </c>
      <c r="C14" s="58">
        <v>50.5</v>
      </c>
      <c r="D14" s="58">
        <v>50.5</v>
      </c>
      <c r="E14" s="58">
        <v>50.5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50.5</v>
      </c>
      <c r="N14" s="58">
        <v>50.5</v>
      </c>
      <c r="O14" s="58">
        <v>50.5</v>
      </c>
      <c r="P14" s="58">
        <v>50.5</v>
      </c>
      <c r="Q14" s="58">
        <v>50.5</v>
      </c>
      <c r="R14" s="58">
        <v>50.5</v>
      </c>
      <c r="S14" s="58">
        <v>25.2</v>
      </c>
      <c r="T14" s="58">
        <v>50.5</v>
      </c>
      <c r="U14" s="58">
        <v>50.5</v>
      </c>
      <c r="V14" s="58">
        <v>50.5</v>
      </c>
      <c r="W14" s="58">
        <v>50.5</v>
      </c>
      <c r="X14" s="58">
        <v>50.5</v>
      </c>
      <c r="Y14" s="58">
        <v>50.5</v>
      </c>
      <c r="Z14" s="58">
        <v>50.5</v>
      </c>
      <c r="AA14" s="58">
        <v>50.5</v>
      </c>
      <c r="AB14" s="45"/>
      <c r="AC14" s="58">
        <v>50.2</v>
      </c>
      <c r="AD14" s="58">
        <v>50.2</v>
      </c>
      <c r="AE14" s="58">
        <v>50.5</v>
      </c>
      <c r="AF14" s="58">
        <v>50.5</v>
      </c>
      <c r="AG14" s="49">
        <v>50</v>
      </c>
      <c r="AH14" s="47">
        <f t="shared" si="2"/>
        <v>50.5</v>
      </c>
      <c r="AI14" s="48">
        <f t="shared" si="3"/>
        <v>25.2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30</v>
      </c>
      <c r="C15" s="45">
        <v>30</v>
      </c>
      <c r="D15" s="45">
        <v>30</v>
      </c>
      <c r="E15" s="45">
        <v>30</v>
      </c>
      <c r="F15" s="45">
        <v>30</v>
      </c>
      <c r="G15" s="45">
        <v>37.1</v>
      </c>
      <c r="H15" s="45">
        <v>37.1</v>
      </c>
      <c r="I15" s="45">
        <v>37.1</v>
      </c>
      <c r="J15" s="45">
        <v>37.1</v>
      </c>
      <c r="K15" s="45">
        <v>46.4</v>
      </c>
      <c r="L15" s="45">
        <v>46.4</v>
      </c>
      <c r="M15" s="45">
        <v>46.4</v>
      </c>
      <c r="N15" s="45">
        <v>46.4</v>
      </c>
      <c r="O15" s="45">
        <v>46.4</v>
      </c>
      <c r="P15" s="45">
        <v>46.4</v>
      </c>
      <c r="Q15" s="45">
        <v>46.4</v>
      </c>
      <c r="R15" s="45">
        <v>46.4</v>
      </c>
      <c r="S15" s="45">
        <v>46.4</v>
      </c>
      <c r="T15" s="45">
        <v>23.9</v>
      </c>
      <c r="U15" s="45">
        <v>23.9</v>
      </c>
      <c r="V15" s="45">
        <v>23.9</v>
      </c>
      <c r="W15" s="45">
        <v>23.9</v>
      </c>
      <c r="X15" s="45">
        <v>23.9</v>
      </c>
      <c r="Y15" s="45">
        <v>23.9</v>
      </c>
      <c r="Z15" s="45">
        <v>23.9</v>
      </c>
      <c r="AA15" s="45">
        <v>46.2</v>
      </c>
      <c r="AB15" s="45"/>
      <c r="AC15" s="45">
        <v>46.5</v>
      </c>
      <c r="AD15" s="45">
        <v>46.5</v>
      </c>
      <c r="AE15" s="45">
        <v>46.7</v>
      </c>
      <c r="AF15" s="45">
        <v>46.7</v>
      </c>
      <c r="AG15" s="49">
        <v>45</v>
      </c>
      <c r="AH15" s="47">
        <f t="shared" si="2"/>
        <v>46.7</v>
      </c>
      <c r="AI15" s="48">
        <f t="shared" si="3"/>
        <v>23.9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46.2</v>
      </c>
      <c r="T16" s="45">
        <v>46.2</v>
      </c>
      <c r="U16" s="45">
        <v>46.2</v>
      </c>
      <c r="V16" s="45">
        <v>46.2</v>
      </c>
      <c r="W16" s="45">
        <v>46.2</v>
      </c>
      <c r="X16" s="45">
        <v>46.2</v>
      </c>
      <c r="Y16" s="45">
        <v>46.2</v>
      </c>
      <c r="Z16" s="45">
        <v>46.2</v>
      </c>
      <c r="AA16" s="45">
        <v>46.2</v>
      </c>
      <c r="AB16" s="45"/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46.2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32</v>
      </c>
      <c r="Z17" s="45">
        <v>29</v>
      </c>
      <c r="AA17" s="45">
        <v>29</v>
      </c>
      <c r="AB17" s="45"/>
      <c r="AC17" s="45">
        <v>28.4</v>
      </c>
      <c r="AD17" s="45">
        <v>28.4</v>
      </c>
      <c r="AE17" s="45">
        <v>28.4</v>
      </c>
      <c r="AF17" s="45">
        <v>28.4</v>
      </c>
      <c r="AG17" s="49">
        <v>42</v>
      </c>
      <c r="AH17" s="47">
        <f t="shared" si="2"/>
        <v>32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/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0</v>
      </c>
      <c r="P19" s="45">
        <v>0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/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10.3</v>
      </c>
      <c r="D20" s="45">
        <v>10</v>
      </c>
      <c r="E20" s="45">
        <v>10.3</v>
      </c>
      <c r="F20" s="45">
        <v>10.3</v>
      </c>
      <c r="G20" s="45">
        <v>10.3</v>
      </c>
      <c r="H20" s="45">
        <v>10.3</v>
      </c>
      <c r="I20" s="45">
        <v>10.3</v>
      </c>
      <c r="J20" s="45">
        <v>10.3</v>
      </c>
      <c r="K20" s="45">
        <v>10.3</v>
      </c>
      <c r="L20" s="45">
        <v>10.3</v>
      </c>
      <c r="M20" s="45">
        <v>10.3</v>
      </c>
      <c r="N20" s="45">
        <v>10.3</v>
      </c>
      <c r="O20" s="45">
        <v>15</v>
      </c>
      <c r="P20" s="45">
        <v>0</v>
      </c>
      <c r="Q20" s="45">
        <v>0</v>
      </c>
      <c r="R20" s="45">
        <v>0</v>
      </c>
      <c r="S20" s="45">
        <v>0</v>
      </c>
      <c r="T20" s="45">
        <v>0</v>
      </c>
      <c r="U20" s="45">
        <v>0</v>
      </c>
      <c r="V20" s="45">
        <v>15</v>
      </c>
      <c r="W20" s="45">
        <v>15</v>
      </c>
      <c r="X20" s="45">
        <v>30</v>
      </c>
      <c r="Y20" s="45">
        <v>30</v>
      </c>
      <c r="Z20" s="45">
        <v>30</v>
      </c>
      <c r="AA20" s="45">
        <v>30</v>
      </c>
      <c r="AB20" s="45"/>
      <c r="AC20" s="45">
        <v>25.6</v>
      </c>
      <c r="AD20" s="45">
        <v>15</v>
      </c>
      <c r="AE20" s="45">
        <v>5.2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32.9</v>
      </c>
      <c r="C21" s="45">
        <v>32.9</v>
      </c>
      <c r="D21" s="45">
        <v>32.9</v>
      </c>
      <c r="E21" s="45">
        <v>32.9</v>
      </c>
      <c r="F21" s="45">
        <v>32.9</v>
      </c>
      <c r="G21" s="45">
        <v>32.9</v>
      </c>
      <c r="H21" s="45">
        <v>32.9</v>
      </c>
      <c r="I21" s="45">
        <v>32.9</v>
      </c>
      <c r="J21" s="45">
        <v>32.9</v>
      </c>
      <c r="K21" s="45">
        <v>32.9</v>
      </c>
      <c r="L21" s="45">
        <v>32.9</v>
      </c>
      <c r="M21" s="45">
        <v>32.9</v>
      </c>
      <c r="N21" s="45">
        <v>32.9</v>
      </c>
      <c r="O21" s="45">
        <v>32.9</v>
      </c>
      <c r="P21" s="45">
        <v>32.9</v>
      </c>
      <c r="Q21" s="45">
        <v>26</v>
      </c>
      <c r="R21" s="45">
        <v>26</v>
      </c>
      <c r="S21" s="45">
        <v>26</v>
      </c>
      <c r="T21" s="45">
        <v>26</v>
      </c>
      <c r="U21" s="45">
        <v>26</v>
      </c>
      <c r="V21" s="45">
        <v>26</v>
      </c>
      <c r="W21" s="45">
        <v>26</v>
      </c>
      <c r="X21" s="45">
        <v>26</v>
      </c>
      <c r="Y21" s="45">
        <v>26</v>
      </c>
      <c r="Z21" s="45">
        <v>26</v>
      </c>
      <c r="AA21" s="45">
        <v>26</v>
      </c>
      <c r="AB21" s="45"/>
      <c r="AC21" s="45">
        <v>33.1</v>
      </c>
      <c r="AD21" s="45">
        <v>33.1</v>
      </c>
      <c r="AE21" s="45">
        <v>33</v>
      </c>
      <c r="AF21" s="45">
        <v>33</v>
      </c>
      <c r="AG21" s="49">
        <v>24.2</v>
      </c>
      <c r="AH21" s="47">
        <f t="shared" si="2"/>
        <v>33.1</v>
      </c>
      <c r="AI21" s="48">
        <f t="shared" si="3"/>
        <v>26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/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13</v>
      </c>
      <c r="C23" s="45">
        <v>13</v>
      </c>
      <c r="D23" s="45">
        <v>5</v>
      </c>
      <c r="E23" s="45">
        <v>13.5</v>
      </c>
      <c r="F23" s="45">
        <v>13.5</v>
      </c>
      <c r="G23" s="45">
        <v>13.5</v>
      </c>
      <c r="H23" s="45">
        <v>13.5</v>
      </c>
      <c r="I23" s="45">
        <v>13.5</v>
      </c>
      <c r="J23" s="45">
        <v>13.5</v>
      </c>
      <c r="K23" s="45">
        <v>13.5</v>
      </c>
      <c r="L23" s="45">
        <v>13.5</v>
      </c>
      <c r="M23" s="45">
        <v>13.5</v>
      </c>
      <c r="N23" s="45">
        <v>9</v>
      </c>
      <c r="O23" s="45">
        <v>14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9</v>
      </c>
      <c r="W23" s="45">
        <v>9</v>
      </c>
      <c r="X23" s="45">
        <v>27</v>
      </c>
      <c r="Y23" s="45">
        <v>27</v>
      </c>
      <c r="Z23" s="45">
        <v>27</v>
      </c>
      <c r="AA23" s="45">
        <v>27</v>
      </c>
      <c r="AB23" s="45"/>
      <c r="AC23" s="45">
        <v>24</v>
      </c>
      <c r="AD23" s="45">
        <v>13.5</v>
      </c>
      <c r="AE23" s="45">
        <v>4.5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/>
      <c r="AC24" s="45">
        <v>26.2</v>
      </c>
      <c r="AD24" s="45">
        <v>26.2</v>
      </c>
      <c r="AE24" s="45">
        <v>24.5</v>
      </c>
      <c r="AF24" s="45">
        <v>24.5</v>
      </c>
      <c r="AG24" s="49">
        <v>25</v>
      </c>
      <c r="AH24" s="47">
        <f t="shared" si="2"/>
        <v>26.2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/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20</v>
      </c>
      <c r="C26" s="45">
        <v>20</v>
      </c>
      <c r="D26" s="45">
        <v>20</v>
      </c>
      <c r="E26" s="45">
        <v>20</v>
      </c>
      <c r="F26" s="45">
        <v>20</v>
      </c>
      <c r="G26" s="45">
        <v>20</v>
      </c>
      <c r="H26" s="45">
        <v>20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/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13</v>
      </c>
      <c r="C27" s="45">
        <v>13</v>
      </c>
      <c r="D27" s="45">
        <v>5</v>
      </c>
      <c r="E27" s="45">
        <v>12.5</v>
      </c>
      <c r="F27" s="45">
        <v>12.5</v>
      </c>
      <c r="G27" s="45">
        <v>12.5</v>
      </c>
      <c r="H27" s="45">
        <v>12.5</v>
      </c>
      <c r="I27" s="45">
        <v>12.5</v>
      </c>
      <c r="J27" s="45">
        <v>12.5</v>
      </c>
      <c r="K27" s="45">
        <v>12.5</v>
      </c>
      <c r="L27" s="45">
        <v>12.5</v>
      </c>
      <c r="M27" s="45">
        <v>12.5</v>
      </c>
      <c r="N27" s="45">
        <v>8</v>
      </c>
      <c r="O27" s="45">
        <v>12.5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5</v>
      </c>
      <c r="W27" s="45">
        <v>5</v>
      </c>
      <c r="X27" s="45">
        <v>25</v>
      </c>
      <c r="Y27" s="45">
        <v>25</v>
      </c>
      <c r="Z27" s="45">
        <v>25</v>
      </c>
      <c r="AA27" s="45">
        <v>25</v>
      </c>
      <c r="AB27" s="45"/>
      <c r="AC27" s="45">
        <f>25*0.8</f>
        <v>20</v>
      </c>
      <c r="AD27" s="45">
        <v>12.5</v>
      </c>
      <c r="AE27" s="45">
        <v>4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25.1</v>
      </c>
      <c r="C28" s="45">
        <v>25.1</v>
      </c>
      <c r="D28" s="45">
        <v>25.1</v>
      </c>
      <c r="E28" s="45">
        <v>25.1</v>
      </c>
      <c r="F28" s="45">
        <v>25.1</v>
      </c>
      <c r="G28" s="45">
        <v>25.1</v>
      </c>
      <c r="H28" s="45">
        <v>25.1</v>
      </c>
      <c r="I28" s="45">
        <v>25.1</v>
      </c>
      <c r="J28" s="45">
        <v>25.1</v>
      </c>
      <c r="K28" s="45">
        <v>25.1</v>
      </c>
      <c r="L28" s="45">
        <v>25.1</v>
      </c>
      <c r="M28" s="45">
        <v>25.1</v>
      </c>
      <c r="N28" s="45">
        <v>25.1</v>
      </c>
      <c r="O28" s="45">
        <v>24.1</v>
      </c>
      <c r="P28" s="45">
        <v>24.1</v>
      </c>
      <c r="Q28" s="45">
        <v>24.2</v>
      </c>
      <c r="R28" s="45">
        <v>24.2</v>
      </c>
      <c r="S28" s="45">
        <v>24.2</v>
      </c>
      <c r="T28" s="45">
        <v>24.2</v>
      </c>
      <c r="U28" s="45">
        <v>24.2</v>
      </c>
      <c r="V28" s="45">
        <v>24.2</v>
      </c>
      <c r="W28" s="45">
        <v>24.2</v>
      </c>
      <c r="X28" s="45">
        <v>24.2</v>
      </c>
      <c r="Y28" s="45">
        <v>24.2</v>
      </c>
      <c r="Z28" s="45">
        <v>24.2</v>
      </c>
      <c r="AA28" s="45">
        <v>24.2</v>
      </c>
      <c r="AB28" s="45"/>
      <c r="AC28" s="45">
        <v>24.7</v>
      </c>
      <c r="AD28" s="45">
        <v>24.7</v>
      </c>
      <c r="AE28" s="45">
        <v>24.7</v>
      </c>
      <c r="AF28" s="45">
        <v>24.7</v>
      </c>
      <c r="AG28" s="49">
        <v>23.5</v>
      </c>
      <c r="AH28" s="47">
        <f t="shared" si="2"/>
        <v>25.1</v>
      </c>
      <c r="AI28" s="48">
        <f t="shared" si="3"/>
        <v>24.1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/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/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/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/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5</v>
      </c>
      <c r="J33" s="45">
        <v>5</v>
      </c>
      <c r="K33" s="45">
        <v>5</v>
      </c>
      <c r="L33" s="45">
        <v>5</v>
      </c>
      <c r="M33" s="45">
        <v>5</v>
      </c>
      <c r="N33" s="45">
        <v>5</v>
      </c>
      <c r="O33" s="45">
        <v>5</v>
      </c>
      <c r="P33" s="45">
        <v>4</v>
      </c>
      <c r="Q33" s="45">
        <v>4</v>
      </c>
      <c r="R33" s="45">
        <v>4</v>
      </c>
      <c r="S33" s="45">
        <v>0</v>
      </c>
      <c r="T33" s="45">
        <v>0</v>
      </c>
      <c r="U33" s="45">
        <v>0</v>
      </c>
      <c r="V33" s="45">
        <v>0</v>
      </c>
      <c r="W33" s="45">
        <v>5</v>
      </c>
      <c r="X33" s="45">
        <v>10</v>
      </c>
      <c r="Y33" s="45">
        <v>10</v>
      </c>
      <c r="Z33" s="45">
        <v>7</v>
      </c>
      <c r="AA33" s="45">
        <v>7</v>
      </c>
      <c r="AB33" s="45"/>
      <c r="AC33" s="45">
        <v>5</v>
      </c>
      <c r="AD33" s="45">
        <v>5</v>
      </c>
      <c r="AE33" s="45">
        <v>0</v>
      </c>
      <c r="AF33" s="45">
        <v>0</v>
      </c>
      <c r="AG33" s="49">
        <v>20</v>
      </c>
      <c r="AH33" s="47">
        <f t="shared" si="2"/>
        <v>10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3.5</v>
      </c>
      <c r="J34" s="45">
        <v>3.5</v>
      </c>
      <c r="K34" s="45">
        <v>3.5</v>
      </c>
      <c r="L34" s="45">
        <v>3.5</v>
      </c>
      <c r="M34" s="45">
        <v>3.5</v>
      </c>
      <c r="N34" s="45">
        <v>3.5</v>
      </c>
      <c r="O34" s="45">
        <v>3.5</v>
      </c>
      <c r="P34" s="45">
        <v>3</v>
      </c>
      <c r="Q34" s="45">
        <v>3</v>
      </c>
      <c r="R34" s="45">
        <v>3</v>
      </c>
      <c r="S34" s="45">
        <v>0</v>
      </c>
      <c r="T34" s="45">
        <v>0</v>
      </c>
      <c r="U34" s="45">
        <v>0</v>
      </c>
      <c r="V34" s="45">
        <v>0</v>
      </c>
      <c r="W34" s="45">
        <v>3.5</v>
      </c>
      <c r="X34" s="45">
        <v>9</v>
      </c>
      <c r="Y34" s="45">
        <v>6</v>
      </c>
      <c r="Z34" s="45">
        <v>4</v>
      </c>
      <c r="AA34" s="45">
        <v>4</v>
      </c>
      <c r="AB34" s="45"/>
      <c r="AC34" s="45">
        <v>5</v>
      </c>
      <c r="AD34" s="45">
        <v>5</v>
      </c>
      <c r="AE34" s="45">
        <v>0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/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/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7</v>
      </c>
      <c r="C37" s="45">
        <v>7</v>
      </c>
      <c r="D37" s="45">
        <v>7</v>
      </c>
      <c r="E37" s="45">
        <v>7</v>
      </c>
      <c r="F37" s="45">
        <v>7</v>
      </c>
      <c r="G37" s="45">
        <v>7</v>
      </c>
      <c r="H37" s="45">
        <v>7</v>
      </c>
      <c r="I37" s="45">
        <v>7</v>
      </c>
      <c r="J37" s="45">
        <v>7</v>
      </c>
      <c r="K37" s="45">
        <v>7</v>
      </c>
      <c r="L37" s="45">
        <v>7</v>
      </c>
      <c r="M37" s="45">
        <v>7</v>
      </c>
      <c r="N37" s="45">
        <v>7</v>
      </c>
      <c r="O37" s="45">
        <v>7</v>
      </c>
      <c r="P37" s="45">
        <v>7</v>
      </c>
      <c r="Q37" s="45">
        <v>7</v>
      </c>
      <c r="R37" s="45">
        <v>7</v>
      </c>
      <c r="S37" s="45">
        <v>7</v>
      </c>
      <c r="T37" s="45">
        <v>7</v>
      </c>
      <c r="U37" s="45">
        <v>7</v>
      </c>
      <c r="V37" s="45">
        <v>7</v>
      </c>
      <c r="W37" s="45">
        <v>7</v>
      </c>
      <c r="X37" s="45">
        <v>7</v>
      </c>
      <c r="Y37" s="45">
        <v>7</v>
      </c>
      <c r="Z37" s="45">
        <v>7</v>
      </c>
      <c r="AA37" s="45">
        <v>7</v>
      </c>
      <c r="AB37" s="45"/>
      <c r="AC37" s="45">
        <v>7</v>
      </c>
      <c r="AD37" s="45">
        <v>7</v>
      </c>
      <c r="AE37" s="45">
        <v>7</v>
      </c>
      <c r="AF37" s="45">
        <v>7</v>
      </c>
      <c r="AG37" s="49">
        <v>13.6</v>
      </c>
      <c r="AH37" s="47">
        <f t="shared" si="2"/>
        <v>7</v>
      </c>
      <c r="AI37" s="48">
        <f t="shared" si="3"/>
        <v>7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/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6</v>
      </c>
      <c r="D39" s="45">
        <v>6</v>
      </c>
      <c r="E39" s="45">
        <v>6</v>
      </c>
      <c r="F39" s="45">
        <v>6</v>
      </c>
      <c r="G39" s="45">
        <v>6</v>
      </c>
      <c r="H39" s="45">
        <v>6</v>
      </c>
      <c r="I39" s="45">
        <v>6</v>
      </c>
      <c r="J39" s="45">
        <v>6</v>
      </c>
      <c r="K39" s="45">
        <v>6</v>
      </c>
      <c r="L39" s="45">
        <v>6</v>
      </c>
      <c r="M39" s="45">
        <v>6</v>
      </c>
      <c r="N39" s="45">
        <v>4</v>
      </c>
      <c r="O39" s="45">
        <v>6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6</v>
      </c>
      <c r="W39" s="45">
        <v>6</v>
      </c>
      <c r="X39" s="45">
        <v>6</v>
      </c>
      <c r="Y39" s="45">
        <v>12</v>
      </c>
      <c r="Z39" s="45">
        <v>12</v>
      </c>
      <c r="AA39" s="45">
        <v>12</v>
      </c>
      <c r="AB39" s="45"/>
      <c r="AC39" s="45">
        <v>12</v>
      </c>
      <c r="AD39" s="45">
        <v>6</v>
      </c>
      <c r="AE39" s="45">
        <v>6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6</v>
      </c>
      <c r="C40" s="45">
        <v>6</v>
      </c>
      <c r="D40" s="45">
        <v>6</v>
      </c>
      <c r="E40" s="45">
        <v>6</v>
      </c>
      <c r="F40" s="45">
        <v>6</v>
      </c>
      <c r="G40" s="45">
        <v>6</v>
      </c>
      <c r="H40" s="45">
        <v>6</v>
      </c>
      <c r="I40" s="45">
        <v>6</v>
      </c>
      <c r="J40" s="45">
        <v>6</v>
      </c>
      <c r="K40" s="45">
        <v>6</v>
      </c>
      <c r="L40" s="45">
        <v>6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/>
      <c r="AC40" s="45">
        <v>12</v>
      </c>
      <c r="AD40" s="45">
        <v>12</v>
      </c>
      <c r="AE40" s="45">
        <v>3</v>
      </c>
      <c r="AF40" s="45">
        <v>3</v>
      </c>
      <c r="AG40" s="49">
        <v>12</v>
      </c>
      <c r="AH40" s="47">
        <f t="shared" si="2"/>
        <v>12</v>
      </c>
      <c r="AI40" s="48">
        <f t="shared" si="3"/>
        <v>3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/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/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/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/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/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/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/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/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128.6</v>
      </c>
      <c r="C49" s="56">
        <v>128.6</v>
      </c>
      <c r="D49" s="56">
        <v>128.6</v>
      </c>
      <c r="E49" s="56">
        <v>128.6</v>
      </c>
      <c r="F49" s="56">
        <v>128.6</v>
      </c>
      <c r="G49" s="56">
        <v>128.6</v>
      </c>
      <c r="H49" s="56">
        <v>128.6</v>
      </c>
      <c r="I49" s="56">
        <v>129.80000000000001</v>
      </c>
      <c r="J49" s="56">
        <v>129.80000000000001</v>
      </c>
      <c r="K49" s="56">
        <v>129.80000000000001</v>
      </c>
      <c r="L49" s="56">
        <v>129.80000000000001</v>
      </c>
      <c r="M49" s="58">
        <f>35.9+88.5</f>
        <v>124.4</v>
      </c>
      <c r="N49" s="58">
        <f>35.9+88.5</f>
        <v>124.4</v>
      </c>
      <c r="O49" s="58">
        <f>35.9+88.5</f>
        <v>124.4</v>
      </c>
      <c r="P49" s="58">
        <f>35.9+88.5</f>
        <v>124.4</v>
      </c>
      <c r="Q49" s="58">
        <f>35.9+88.5</f>
        <v>124.4</v>
      </c>
      <c r="R49" s="58">
        <f>36.4+90.1</f>
        <v>126.5</v>
      </c>
      <c r="S49" s="58">
        <v>126.7</v>
      </c>
      <c r="T49" s="58">
        <v>126.7</v>
      </c>
      <c r="U49" s="58">
        <v>126.4</v>
      </c>
      <c r="V49" s="58">
        <v>120.4</v>
      </c>
      <c r="W49" s="58">
        <v>126.6</v>
      </c>
      <c r="X49" s="58">
        <v>122.5</v>
      </c>
      <c r="Y49" s="56">
        <v>125.1</v>
      </c>
      <c r="Z49" s="56">
        <v>125.1</v>
      </c>
      <c r="AA49" s="56">
        <v>125.1</v>
      </c>
      <c r="AB49" s="56"/>
      <c r="AC49" s="56">
        <f>36.9+92.8</f>
        <v>129.69999999999999</v>
      </c>
      <c r="AD49" s="56">
        <f>93.2+36.9</f>
        <v>130.1</v>
      </c>
      <c r="AE49" s="56">
        <f>37.3+94.1</f>
        <v>131.39999999999998</v>
      </c>
      <c r="AF49" s="56">
        <f>37.3+95.4</f>
        <v>132.69999999999999</v>
      </c>
      <c r="AG49" s="54">
        <v>240</v>
      </c>
      <c r="AH49" s="47">
        <f t="shared" si="2"/>
        <v>132.69999999999999</v>
      </c>
      <c r="AI49" s="48">
        <f t="shared" si="3"/>
        <v>120.4</v>
      </c>
      <c r="AK49" s="50"/>
    </row>
    <row r="50" spans="1:41" ht="15.75" thickBot="1" x14ac:dyDescent="0.3">
      <c r="A50" s="59" t="s">
        <v>58</v>
      </c>
      <c r="B50" s="60">
        <f>SUM(B11:B48)</f>
        <v>1119.2</v>
      </c>
      <c r="C50" s="60">
        <f t="shared" ref="C50:AE50" si="4">SUM(C11:C48)</f>
        <v>1114.5</v>
      </c>
      <c r="D50" s="60">
        <f>SUM(D11:D48)</f>
        <v>1098.2</v>
      </c>
      <c r="E50" s="60">
        <f>SUM(E11:E48)</f>
        <v>1114.5</v>
      </c>
      <c r="F50" s="60">
        <f>SUM(F11:F48)</f>
        <v>1114.5</v>
      </c>
      <c r="G50" s="60">
        <f>SUM(G11:G48)</f>
        <v>1121.5999999999999</v>
      </c>
      <c r="H50" s="60">
        <f>SUM(H11:H48)</f>
        <v>1121.5999999999999</v>
      </c>
      <c r="I50" s="60">
        <f t="shared" si="4"/>
        <v>1135.0999999999999</v>
      </c>
      <c r="J50" s="60">
        <f>SUM(J11:J48)</f>
        <v>1135.0999999999999</v>
      </c>
      <c r="K50" s="60">
        <f>SUM(K11:K48)</f>
        <v>1144.4000000000001</v>
      </c>
      <c r="L50" s="60">
        <f>SUM(L11:L48)</f>
        <v>1144.4000000000001</v>
      </c>
      <c r="M50" s="60">
        <f t="shared" si="4"/>
        <v>1150.4000000000001</v>
      </c>
      <c r="N50" s="60">
        <f t="shared" si="4"/>
        <v>1139.4000000000001</v>
      </c>
      <c r="O50" s="60">
        <f t="shared" si="4"/>
        <v>1130.5999999999999</v>
      </c>
      <c r="P50" s="60">
        <f t="shared" si="4"/>
        <v>1068.5999999999999</v>
      </c>
      <c r="Q50" s="60">
        <f t="shared" si="4"/>
        <v>1081.2</v>
      </c>
      <c r="R50" s="60">
        <f t="shared" si="4"/>
        <v>1081.2</v>
      </c>
      <c r="S50" s="60">
        <f t="shared" si="4"/>
        <v>1051.0999999999999</v>
      </c>
      <c r="T50" s="60">
        <f t="shared" si="4"/>
        <v>1053.9000000000001</v>
      </c>
      <c r="U50" s="60">
        <f t="shared" si="4"/>
        <v>1053.9000000000001</v>
      </c>
      <c r="V50" s="60">
        <f t="shared" si="4"/>
        <v>1097.9000000000001</v>
      </c>
      <c r="W50" s="60">
        <f t="shared" si="4"/>
        <v>1106.4000000000001</v>
      </c>
      <c r="X50" s="60">
        <f t="shared" si="4"/>
        <v>1173.9000000000001</v>
      </c>
      <c r="Y50" s="60">
        <f t="shared" si="4"/>
        <v>1180.9000000000001</v>
      </c>
      <c r="Z50" s="60">
        <f t="shared" si="4"/>
        <v>1172.9000000000001</v>
      </c>
      <c r="AA50" s="60">
        <f t="shared" si="4"/>
        <v>1195.2</v>
      </c>
      <c r="AB50" s="60">
        <f t="shared" si="4"/>
        <v>0</v>
      </c>
      <c r="AC50" s="60">
        <f>SUM(AC11:AC48)</f>
        <v>1192.8000000000002</v>
      </c>
      <c r="AD50" s="60">
        <f t="shared" si="4"/>
        <v>1158.2</v>
      </c>
      <c r="AE50" s="60">
        <f t="shared" si="4"/>
        <v>1110.5999999999999</v>
      </c>
      <c r="AF50" s="60">
        <f>SUM(AF11:AF48)</f>
        <v>1078.2</v>
      </c>
      <c r="AG50" s="61">
        <f>SUM(AG13:AG48)</f>
        <v>922.14</v>
      </c>
      <c r="AH50" s="47">
        <f t="shared" si="2"/>
        <v>1195.2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/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/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/>
      <c r="AC53" s="66">
        <v>22</v>
      </c>
      <c r="AD53" s="66">
        <v>22</v>
      </c>
      <c r="AE53" s="66">
        <v>22.2</v>
      </c>
      <c r="AF53" s="66">
        <v>22.2</v>
      </c>
      <c r="AG53" s="67">
        <v>22.1</v>
      </c>
      <c r="AH53" s="47">
        <f t="shared" si="2"/>
        <v>22.4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>SUM(B51:B53)</f>
        <v>538.4</v>
      </c>
      <c r="C54" s="60">
        <f t="shared" ref="C54:AG54" si="5">SUM(C51:C53)</f>
        <v>538.4</v>
      </c>
      <c r="D54" s="60">
        <f t="shared" ref="D54:L54" si="6">SUM(D51:D53)</f>
        <v>538.4</v>
      </c>
      <c r="E54" s="60">
        <f t="shared" si="6"/>
        <v>538.4</v>
      </c>
      <c r="F54" s="60">
        <f t="shared" si="6"/>
        <v>538.4</v>
      </c>
      <c r="G54" s="60">
        <f t="shared" si="6"/>
        <v>538.4</v>
      </c>
      <c r="H54" s="60">
        <f t="shared" si="6"/>
        <v>538.4</v>
      </c>
      <c r="I54" s="60">
        <f t="shared" si="6"/>
        <v>538.4</v>
      </c>
      <c r="J54" s="60">
        <f t="shared" si="6"/>
        <v>538.4</v>
      </c>
      <c r="K54" s="60">
        <f t="shared" si="6"/>
        <v>538.4</v>
      </c>
      <c r="L54" s="60">
        <f t="shared" si="6"/>
        <v>538.4</v>
      </c>
      <c r="M54" s="60">
        <f t="shared" si="5"/>
        <v>538.4</v>
      </c>
      <c r="N54" s="60">
        <f t="shared" si="5"/>
        <v>538.4</v>
      </c>
      <c r="O54" s="60">
        <f t="shared" si="5"/>
        <v>538.4</v>
      </c>
      <c r="P54" s="60">
        <f t="shared" si="5"/>
        <v>538.4</v>
      </c>
      <c r="Q54" s="60">
        <f t="shared" si="5"/>
        <v>538.4</v>
      </c>
      <c r="R54" s="60">
        <f t="shared" si="5"/>
        <v>538.4</v>
      </c>
      <c r="S54" s="60">
        <f t="shared" si="5"/>
        <v>538.4</v>
      </c>
      <c r="T54" s="60">
        <f t="shared" si="5"/>
        <v>538.4</v>
      </c>
      <c r="U54" s="60">
        <f t="shared" si="5"/>
        <v>538.4</v>
      </c>
      <c r="V54" s="60">
        <f t="shared" si="5"/>
        <v>538.4</v>
      </c>
      <c r="W54" s="60">
        <f t="shared" si="5"/>
        <v>538.4</v>
      </c>
      <c r="X54" s="60">
        <f t="shared" si="5"/>
        <v>538.4</v>
      </c>
      <c r="Y54" s="60">
        <f t="shared" si="5"/>
        <v>538.4</v>
      </c>
      <c r="Z54" s="60">
        <f t="shared" si="5"/>
        <v>538.4</v>
      </c>
      <c r="AA54" s="60">
        <f t="shared" si="5"/>
        <v>538.4</v>
      </c>
      <c r="AB54" s="60">
        <f t="shared" si="5"/>
        <v>0</v>
      </c>
      <c r="AC54" s="60">
        <f>SUM(AC51:AC53)</f>
        <v>538</v>
      </c>
      <c r="AD54" s="60">
        <f t="shared" si="5"/>
        <v>538</v>
      </c>
      <c r="AE54" s="60">
        <f t="shared" si="5"/>
        <v>538.20000000000005</v>
      </c>
      <c r="AF54" s="60">
        <f>SUM(AF51:AF53)</f>
        <v>538.20000000000005</v>
      </c>
      <c r="AG54" s="61">
        <f t="shared" si="5"/>
        <v>538.1</v>
      </c>
      <c r="AH54" s="47">
        <f t="shared" si="2"/>
        <v>538.4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144</v>
      </c>
      <c r="C55" s="45">
        <v>144</v>
      </c>
      <c r="D55" s="45">
        <v>143.69999999999999</v>
      </c>
      <c r="E55" s="45">
        <v>143.69999999999999</v>
      </c>
      <c r="F55" s="45">
        <v>143.69999999999999</v>
      </c>
      <c r="G55" s="45">
        <v>143.69999999999999</v>
      </c>
      <c r="H55" s="45">
        <v>143.69999999999999</v>
      </c>
      <c r="I55" s="45">
        <v>143.69999999999999</v>
      </c>
      <c r="J55" s="45">
        <v>143.69999999999999</v>
      </c>
      <c r="K55" s="45">
        <v>143.69999999999999</v>
      </c>
      <c r="L55" s="45">
        <v>143.69999999999999</v>
      </c>
      <c r="M55" s="45">
        <v>143.69999999999999</v>
      </c>
      <c r="N55" s="45">
        <v>143.69999999999999</v>
      </c>
      <c r="O55" s="45">
        <v>143.69999999999999</v>
      </c>
      <c r="P55" s="45">
        <v>144.4</v>
      </c>
      <c r="Q55" s="45">
        <v>143.9</v>
      </c>
      <c r="R55" s="45">
        <v>143.9</v>
      </c>
      <c r="S55" s="45">
        <v>143.9</v>
      </c>
      <c r="T55" s="45">
        <v>143.9</v>
      </c>
      <c r="U55" s="45">
        <v>143.9</v>
      </c>
      <c r="V55" s="45">
        <v>143.9</v>
      </c>
      <c r="W55" s="45">
        <v>143.9</v>
      </c>
      <c r="X55" s="45">
        <v>143.9</v>
      </c>
      <c r="Y55" s="45">
        <v>143.9</v>
      </c>
      <c r="Z55" s="45">
        <v>143.9</v>
      </c>
      <c r="AA55" s="45">
        <v>143.9</v>
      </c>
      <c r="AB55" s="45"/>
      <c r="AC55" s="45">
        <v>145.19999999999999</v>
      </c>
      <c r="AD55" s="45">
        <v>145.30000000000001</v>
      </c>
      <c r="AE55" s="45">
        <v>145.6</v>
      </c>
      <c r="AF55" s="45">
        <v>145.80000000000001</v>
      </c>
      <c r="AG55" s="51">
        <v>144</v>
      </c>
      <c r="AH55" s="47">
        <f t="shared" si="2"/>
        <v>145.80000000000001</v>
      </c>
      <c r="AI55" s="48">
        <f t="shared" si="3"/>
        <v>143.69999999999999</v>
      </c>
      <c r="AK55" s="50"/>
    </row>
    <row r="56" spans="1:41" x14ac:dyDescent="0.25">
      <c r="A56" s="53" t="s">
        <v>64</v>
      </c>
      <c r="B56" s="64">
        <v>60.8</v>
      </c>
      <c r="C56" s="64">
        <v>60.8</v>
      </c>
      <c r="D56" s="64">
        <v>62</v>
      </c>
      <c r="E56" s="64">
        <v>69.45</v>
      </c>
      <c r="F56" s="64">
        <v>69.45</v>
      </c>
      <c r="G56" s="64">
        <v>69.45</v>
      </c>
      <c r="H56" s="64">
        <v>69.45</v>
      </c>
      <c r="I56" s="64">
        <v>69.45</v>
      </c>
      <c r="J56" s="64">
        <v>69.45</v>
      </c>
      <c r="K56" s="64">
        <v>69.45</v>
      </c>
      <c r="L56" s="64">
        <v>69.45</v>
      </c>
      <c r="M56" s="64">
        <v>69.45</v>
      </c>
      <c r="N56" s="64">
        <v>71.099999999999994</v>
      </c>
      <c r="O56" s="64">
        <v>71.099999999999994</v>
      </c>
      <c r="P56" s="64">
        <v>70.2</v>
      </c>
      <c r="Q56" s="64">
        <v>70.8</v>
      </c>
      <c r="R56" s="64">
        <v>70.8</v>
      </c>
      <c r="S56" s="64">
        <v>70.8</v>
      </c>
      <c r="T56" s="64">
        <v>70.8</v>
      </c>
      <c r="U56" s="64">
        <v>70.8</v>
      </c>
      <c r="V56" s="64">
        <v>70.8</v>
      </c>
      <c r="W56" s="64">
        <v>70.8</v>
      </c>
      <c r="X56" s="64">
        <v>70.8</v>
      </c>
      <c r="Y56" s="45">
        <v>70.8</v>
      </c>
      <c r="Z56" s="45">
        <v>70.8</v>
      </c>
      <c r="AA56" s="45">
        <v>70.8</v>
      </c>
      <c r="AB56" s="45"/>
      <c r="AC56" s="45">
        <v>70.5</v>
      </c>
      <c r="AD56" s="64">
        <v>70.099999999999994</v>
      </c>
      <c r="AE56" s="45">
        <v>69.599999999999994</v>
      </c>
      <c r="AF56" s="45">
        <v>69.599999999999994</v>
      </c>
      <c r="AG56" s="54">
        <v>70</v>
      </c>
      <c r="AH56" s="47">
        <f t="shared" si="2"/>
        <v>71.099999999999994</v>
      </c>
      <c r="AI56" s="48">
        <f t="shared" si="3"/>
        <v>60.8</v>
      </c>
      <c r="AK56" s="50"/>
    </row>
    <row r="57" spans="1:41" x14ac:dyDescent="0.25">
      <c r="A57" s="53" t="s">
        <v>65</v>
      </c>
      <c r="B57" s="64">
        <v>53</v>
      </c>
      <c r="C57" s="64">
        <v>50</v>
      </c>
      <c r="D57" s="64">
        <v>50</v>
      </c>
      <c r="E57" s="64">
        <v>0</v>
      </c>
      <c r="F57" s="64">
        <v>0</v>
      </c>
      <c r="G57" s="64">
        <v>0</v>
      </c>
      <c r="H57" s="64">
        <v>0</v>
      </c>
      <c r="I57" s="64">
        <v>0</v>
      </c>
      <c r="J57" s="64">
        <v>0</v>
      </c>
      <c r="K57" s="64">
        <v>0</v>
      </c>
      <c r="L57" s="64">
        <v>0</v>
      </c>
      <c r="M57" s="64">
        <v>0</v>
      </c>
      <c r="N57" s="64">
        <v>67.099999999999994</v>
      </c>
      <c r="O57" s="64">
        <v>67.099999999999994</v>
      </c>
      <c r="P57" s="64">
        <v>66.3</v>
      </c>
      <c r="Q57" s="64">
        <v>66.5</v>
      </c>
      <c r="R57" s="64">
        <v>66.5</v>
      </c>
      <c r="S57" s="64">
        <v>66.5</v>
      </c>
      <c r="T57" s="64">
        <v>66.5</v>
      </c>
      <c r="U57" s="64">
        <v>66.5</v>
      </c>
      <c r="V57" s="64">
        <v>66.5</v>
      </c>
      <c r="W57" s="64">
        <v>66.5</v>
      </c>
      <c r="X57" s="64">
        <v>66.5</v>
      </c>
      <c r="Y57" s="45">
        <v>66.5</v>
      </c>
      <c r="Z57" s="45">
        <v>66.5</v>
      </c>
      <c r="AA57" s="45">
        <v>66.5</v>
      </c>
      <c r="AB57" s="45"/>
      <c r="AC57" s="45">
        <v>66.2</v>
      </c>
      <c r="AD57" s="64">
        <v>67</v>
      </c>
      <c r="AE57" s="45">
        <v>66.5</v>
      </c>
      <c r="AF57" s="45">
        <v>66.599999999999994</v>
      </c>
      <c r="AG57" s="54">
        <v>69</v>
      </c>
      <c r="AH57" s="47">
        <f t="shared" si="2"/>
        <v>67.099999999999994</v>
      </c>
      <c r="AI57" s="48">
        <f t="shared" si="3"/>
        <v>0</v>
      </c>
      <c r="AK57" s="50"/>
    </row>
    <row r="58" spans="1:41" x14ac:dyDescent="0.25">
      <c r="A58" s="53" t="s">
        <v>66</v>
      </c>
      <c r="B58" s="64">
        <v>50</v>
      </c>
      <c r="C58" s="64">
        <v>50</v>
      </c>
      <c r="D58" s="64">
        <v>50</v>
      </c>
      <c r="E58" s="64">
        <v>60</v>
      </c>
      <c r="F58" s="64">
        <v>50</v>
      </c>
      <c r="G58" s="64">
        <v>60</v>
      </c>
      <c r="H58" s="64">
        <v>50</v>
      </c>
      <c r="I58" s="64">
        <v>60</v>
      </c>
      <c r="J58" s="64">
        <v>60</v>
      </c>
      <c r="K58" s="64">
        <v>60</v>
      </c>
      <c r="L58" s="64">
        <v>60</v>
      </c>
      <c r="M58" s="64">
        <v>60</v>
      </c>
      <c r="N58" s="64">
        <v>60</v>
      </c>
      <c r="O58" s="64">
        <v>60</v>
      </c>
      <c r="P58" s="64">
        <v>60.7</v>
      </c>
      <c r="Q58" s="64">
        <v>60.7</v>
      </c>
      <c r="R58" s="64">
        <v>60.7</v>
      </c>
      <c r="S58" s="64">
        <v>60.7</v>
      </c>
      <c r="T58" s="64">
        <v>60.7</v>
      </c>
      <c r="U58" s="64">
        <v>60.7</v>
      </c>
      <c r="V58" s="64">
        <v>60.7</v>
      </c>
      <c r="W58" s="64">
        <v>60.7</v>
      </c>
      <c r="X58" s="64">
        <v>60.7</v>
      </c>
      <c r="Y58" s="45">
        <v>60.7</v>
      </c>
      <c r="Z58" s="45">
        <v>60.7</v>
      </c>
      <c r="AA58" s="45">
        <v>60.7</v>
      </c>
      <c r="AB58" s="45"/>
      <c r="AC58" s="45">
        <v>60.7</v>
      </c>
      <c r="AD58" s="64">
        <v>59</v>
      </c>
      <c r="AE58" s="45">
        <v>60.7</v>
      </c>
      <c r="AF58" s="45">
        <v>60.7</v>
      </c>
      <c r="AG58" s="54">
        <v>60</v>
      </c>
      <c r="AH58" s="47">
        <f t="shared" si="2"/>
        <v>60.7</v>
      </c>
      <c r="AI58" s="48">
        <f t="shared" si="3"/>
        <v>50</v>
      </c>
      <c r="AK58" s="50"/>
    </row>
    <row r="59" spans="1:41" x14ac:dyDescent="0.25">
      <c r="A59" s="53" t="s">
        <v>67</v>
      </c>
      <c r="B59" s="64">
        <v>26</v>
      </c>
      <c r="C59" s="64">
        <v>26</v>
      </c>
      <c r="D59" s="64">
        <v>26</v>
      </c>
      <c r="E59" s="64">
        <v>27.5</v>
      </c>
      <c r="F59" s="64">
        <v>27.5</v>
      </c>
      <c r="G59" s="64">
        <v>27.5</v>
      </c>
      <c r="H59" s="64">
        <v>27.5</v>
      </c>
      <c r="I59" s="64">
        <v>27.5</v>
      </c>
      <c r="J59" s="64">
        <v>27.5</v>
      </c>
      <c r="K59" s="64">
        <v>27.5</v>
      </c>
      <c r="L59" s="64">
        <v>27.5</v>
      </c>
      <c r="M59" s="64">
        <v>29</v>
      </c>
      <c r="N59" s="64">
        <v>29</v>
      </c>
      <c r="O59" s="64">
        <v>29</v>
      </c>
      <c r="P59" s="64">
        <v>25</v>
      </c>
      <c r="Q59" s="64">
        <v>25</v>
      </c>
      <c r="R59" s="64">
        <v>25</v>
      </c>
      <c r="S59" s="64">
        <v>25</v>
      </c>
      <c r="T59" s="64">
        <v>25</v>
      </c>
      <c r="U59" s="64">
        <v>25</v>
      </c>
      <c r="V59" s="64">
        <v>25</v>
      </c>
      <c r="W59" s="64">
        <v>25</v>
      </c>
      <c r="X59" s="64">
        <v>25</v>
      </c>
      <c r="Y59" s="45">
        <v>25</v>
      </c>
      <c r="Z59" s="45">
        <v>25</v>
      </c>
      <c r="AA59" s="45">
        <v>25</v>
      </c>
      <c r="AB59" s="45"/>
      <c r="AC59" s="45">
        <v>25</v>
      </c>
      <c r="AD59" s="64">
        <v>26</v>
      </c>
      <c r="AE59" s="45">
        <v>26</v>
      </c>
      <c r="AF59" s="45">
        <v>26</v>
      </c>
      <c r="AG59" s="54">
        <v>30</v>
      </c>
      <c r="AH59" s="47">
        <f t="shared" si="2"/>
        <v>29</v>
      </c>
      <c r="AI59" s="48">
        <f t="shared" si="3"/>
        <v>25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2.8</v>
      </c>
      <c r="M60" s="64">
        <v>2.9</v>
      </c>
      <c r="N60" s="64">
        <v>4.2</v>
      </c>
      <c r="O60" s="64">
        <v>4.2</v>
      </c>
      <c r="P60" s="64">
        <v>20.100000000000001</v>
      </c>
      <c r="Q60" s="64">
        <v>13.4</v>
      </c>
      <c r="R60" s="64">
        <v>10.5</v>
      </c>
      <c r="S60" s="64">
        <v>15.1</v>
      </c>
      <c r="T60" s="64">
        <v>10</v>
      </c>
      <c r="U60" s="64">
        <v>5</v>
      </c>
      <c r="V60" s="64">
        <v>0.6</v>
      </c>
      <c r="W60" s="64">
        <v>0.2</v>
      </c>
      <c r="X60" s="64">
        <v>0</v>
      </c>
      <c r="Y60" s="45">
        <v>0</v>
      </c>
      <c r="Z60" s="45">
        <v>0</v>
      </c>
      <c r="AA60" s="45">
        <v>0</v>
      </c>
      <c r="AB60" s="45"/>
      <c r="AC60" s="45">
        <v>0</v>
      </c>
      <c r="AD60" s="64">
        <v>0</v>
      </c>
      <c r="AE60" s="45">
        <v>0</v>
      </c>
      <c r="AF60" s="45">
        <v>0</v>
      </c>
      <c r="AG60" s="54">
        <v>25</v>
      </c>
      <c r="AH60" s="47">
        <f t="shared" si="2"/>
        <v>20.100000000000001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10</v>
      </c>
      <c r="C61" s="64">
        <v>10</v>
      </c>
      <c r="D61" s="64">
        <v>10</v>
      </c>
      <c r="E61" s="64">
        <v>10</v>
      </c>
      <c r="F61" s="64">
        <v>10</v>
      </c>
      <c r="G61" s="64">
        <v>15.5</v>
      </c>
      <c r="H61" s="64">
        <v>15.5</v>
      </c>
      <c r="I61" s="64">
        <v>15.5</v>
      </c>
      <c r="J61" s="64">
        <v>15.5</v>
      </c>
      <c r="K61" s="64">
        <v>15.5</v>
      </c>
      <c r="L61" s="64">
        <v>15.5</v>
      </c>
      <c r="M61" s="64">
        <v>15.5</v>
      </c>
      <c r="N61" s="64">
        <v>15.5</v>
      </c>
      <c r="O61" s="64">
        <v>15.5</v>
      </c>
      <c r="P61" s="64">
        <v>15.5</v>
      </c>
      <c r="Q61" s="64">
        <v>15.5</v>
      </c>
      <c r="R61" s="64">
        <v>15.5</v>
      </c>
      <c r="S61" s="64">
        <v>15.5</v>
      </c>
      <c r="T61" s="64">
        <v>15.5</v>
      </c>
      <c r="U61" s="64">
        <v>15.5</v>
      </c>
      <c r="V61" s="64">
        <v>15.5</v>
      </c>
      <c r="W61" s="64">
        <v>15.5</v>
      </c>
      <c r="X61" s="64">
        <v>15.5</v>
      </c>
      <c r="Y61" s="64">
        <v>15.5</v>
      </c>
      <c r="Z61" s="64">
        <v>15.5</v>
      </c>
      <c r="AA61" s="64">
        <v>15.5</v>
      </c>
      <c r="AB61" s="64"/>
      <c r="AC61" s="64">
        <v>15.5</v>
      </c>
      <c r="AD61" s="64">
        <v>15.5</v>
      </c>
      <c r="AE61" s="64">
        <v>15</v>
      </c>
      <c r="AF61" s="64">
        <v>15</v>
      </c>
      <c r="AG61" s="54">
        <v>24</v>
      </c>
      <c r="AH61" s="47">
        <f t="shared" si="2"/>
        <v>15.5</v>
      </c>
      <c r="AI61" s="48">
        <f t="shared" si="3"/>
        <v>10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3.5</v>
      </c>
      <c r="N62" s="64">
        <v>3.5</v>
      </c>
      <c r="O62" s="64">
        <v>3.5</v>
      </c>
      <c r="P62" s="64">
        <v>3.5</v>
      </c>
      <c r="Q62" s="64">
        <v>3.5</v>
      </c>
      <c r="R62" s="64">
        <v>3.5</v>
      </c>
      <c r="S62" s="64">
        <v>0</v>
      </c>
      <c r="T62" s="64">
        <v>0</v>
      </c>
      <c r="U62" s="64">
        <v>4</v>
      </c>
      <c r="V62" s="64">
        <v>4</v>
      </c>
      <c r="W62" s="64">
        <v>4</v>
      </c>
      <c r="X62" s="64">
        <v>4</v>
      </c>
      <c r="Y62" s="64">
        <v>4</v>
      </c>
      <c r="Z62" s="64">
        <v>4</v>
      </c>
      <c r="AA62" s="64">
        <v>4</v>
      </c>
      <c r="AB62" s="64"/>
      <c r="AC62" s="64">
        <v>4</v>
      </c>
      <c r="AD62" s="64">
        <v>4</v>
      </c>
      <c r="AE62" s="64">
        <v>4</v>
      </c>
      <c r="AF62" s="64">
        <v>4</v>
      </c>
      <c r="AG62" s="54">
        <v>15</v>
      </c>
      <c r="AH62" s="47">
        <f t="shared" si="2"/>
        <v>4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</v>
      </c>
      <c r="C63" s="64">
        <v>8</v>
      </c>
      <c r="D63" s="64">
        <v>8</v>
      </c>
      <c r="E63" s="64">
        <v>8</v>
      </c>
      <c r="F63" s="64">
        <v>8</v>
      </c>
      <c r="G63" s="64">
        <v>12.4</v>
      </c>
      <c r="H63" s="64">
        <v>12.4</v>
      </c>
      <c r="I63" s="64">
        <v>12.4</v>
      </c>
      <c r="J63" s="64">
        <v>12.4</v>
      </c>
      <c r="K63" s="64">
        <v>12.4</v>
      </c>
      <c r="L63" s="64">
        <v>12.4</v>
      </c>
      <c r="M63" s="64">
        <v>11.8</v>
      </c>
      <c r="N63" s="64">
        <v>11.8</v>
      </c>
      <c r="O63" s="64">
        <v>11.8</v>
      </c>
      <c r="P63" s="64">
        <v>11.8</v>
      </c>
      <c r="Q63" s="64">
        <v>11.8</v>
      </c>
      <c r="R63" s="64">
        <v>11.8</v>
      </c>
      <c r="S63" s="64">
        <v>11.8</v>
      </c>
      <c r="T63" s="64">
        <v>11.8</v>
      </c>
      <c r="U63" s="64">
        <v>11.8</v>
      </c>
      <c r="V63" s="64">
        <v>11.8</v>
      </c>
      <c r="W63" s="64">
        <v>11.8</v>
      </c>
      <c r="X63" s="64">
        <v>11.8</v>
      </c>
      <c r="Y63" s="64">
        <v>11.8</v>
      </c>
      <c r="Z63" s="64">
        <v>11.8</v>
      </c>
      <c r="AA63" s="64">
        <v>11.8</v>
      </c>
      <c r="AB63" s="64"/>
      <c r="AC63" s="64">
        <v>11.8</v>
      </c>
      <c r="AD63" s="64">
        <v>11.8</v>
      </c>
      <c r="AE63" s="64">
        <v>8.6999999999999993</v>
      </c>
      <c r="AF63" s="64">
        <v>8.8000000000000007</v>
      </c>
      <c r="AG63" s="54">
        <v>14.1</v>
      </c>
      <c r="AH63" s="47">
        <f t="shared" si="2"/>
        <v>12.4</v>
      </c>
      <c r="AI63" s="48">
        <f t="shared" si="3"/>
        <v>8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13.9</v>
      </c>
      <c r="C64" s="64">
        <v>13.9</v>
      </c>
      <c r="D64" s="64">
        <v>13.9</v>
      </c>
      <c r="E64" s="64">
        <v>13.9</v>
      </c>
      <c r="F64" s="64">
        <v>13.9</v>
      </c>
      <c r="G64" s="64">
        <v>9</v>
      </c>
      <c r="H64" s="64">
        <v>9</v>
      </c>
      <c r="I64" s="64">
        <v>9</v>
      </c>
      <c r="J64" s="64">
        <v>12</v>
      </c>
      <c r="K64" s="64">
        <v>13.9</v>
      </c>
      <c r="L64" s="64">
        <v>13.9</v>
      </c>
      <c r="M64" s="64">
        <v>13.9</v>
      </c>
      <c r="N64" s="64">
        <v>13.9</v>
      </c>
      <c r="O64" s="64">
        <v>13.9</v>
      </c>
      <c r="P64" s="64">
        <v>13.9</v>
      </c>
      <c r="Q64" s="64">
        <v>13.9</v>
      </c>
      <c r="R64" s="64">
        <v>13.9</v>
      </c>
      <c r="S64" s="64">
        <v>13.9</v>
      </c>
      <c r="T64" s="64">
        <v>13.9</v>
      </c>
      <c r="U64" s="64">
        <v>14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/>
      <c r="AC64" s="64">
        <v>14</v>
      </c>
      <c r="AD64" s="64">
        <v>14</v>
      </c>
      <c r="AE64" s="64">
        <v>13.8</v>
      </c>
      <c r="AF64" s="64">
        <v>13.7</v>
      </c>
      <c r="AG64" s="54">
        <v>14</v>
      </c>
      <c r="AH64" s="47">
        <f t="shared" si="2"/>
        <v>14</v>
      </c>
      <c r="AI64" s="48">
        <f t="shared" si="3"/>
        <v>9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/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/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384.44</v>
      </c>
      <c r="C68" s="60">
        <f t="shared" ref="C68:AG68" si="7">SUM(C55:C67)</f>
        <v>381.44</v>
      </c>
      <c r="D68" s="60">
        <f t="shared" ref="D68:J68" si="8">SUM(D55:D67)</f>
        <v>382.34</v>
      </c>
      <c r="E68" s="60">
        <f t="shared" si="8"/>
        <v>351.28999999999996</v>
      </c>
      <c r="F68" s="60">
        <f t="shared" si="8"/>
        <v>341.28999999999996</v>
      </c>
      <c r="G68" s="60">
        <f t="shared" si="8"/>
        <v>356.28999999999996</v>
      </c>
      <c r="H68" s="60">
        <f t="shared" si="8"/>
        <v>346.28999999999996</v>
      </c>
      <c r="I68" s="60">
        <f t="shared" si="8"/>
        <v>356.28999999999996</v>
      </c>
      <c r="J68" s="60">
        <f t="shared" si="8"/>
        <v>359.28999999999996</v>
      </c>
      <c r="K68" s="60">
        <f t="shared" si="7"/>
        <v>361.18999999999994</v>
      </c>
      <c r="L68" s="60">
        <f>SUM(L55:L67)</f>
        <v>363.98999999999995</v>
      </c>
      <c r="M68" s="60">
        <f t="shared" si="7"/>
        <v>368.48999999999995</v>
      </c>
      <c r="N68" s="60">
        <f t="shared" si="7"/>
        <v>438.53999999999996</v>
      </c>
      <c r="O68" s="60">
        <f t="shared" si="7"/>
        <v>438.53999999999996</v>
      </c>
      <c r="P68" s="60">
        <f t="shared" si="7"/>
        <v>450.14000000000004</v>
      </c>
      <c r="Q68" s="60">
        <f t="shared" si="7"/>
        <v>443.73999999999995</v>
      </c>
      <c r="R68" s="60">
        <f t="shared" si="7"/>
        <v>440.84</v>
      </c>
      <c r="S68" s="60">
        <f t="shared" si="7"/>
        <v>441.94</v>
      </c>
      <c r="T68" s="60">
        <f t="shared" si="7"/>
        <v>436.84</v>
      </c>
      <c r="U68" s="60">
        <f t="shared" si="7"/>
        <v>435.94</v>
      </c>
      <c r="V68" s="60">
        <f t="shared" si="7"/>
        <v>431.54</v>
      </c>
      <c r="W68" s="60">
        <f t="shared" si="7"/>
        <v>431.14</v>
      </c>
      <c r="X68" s="60">
        <f t="shared" si="7"/>
        <v>430.94</v>
      </c>
      <c r="Y68" s="60">
        <f t="shared" si="7"/>
        <v>430.94</v>
      </c>
      <c r="Z68" s="60">
        <f t="shared" si="7"/>
        <v>430.94</v>
      </c>
      <c r="AA68" s="60">
        <f t="shared" si="7"/>
        <v>430.94</v>
      </c>
      <c r="AB68" s="60">
        <f t="shared" si="7"/>
        <v>3.54</v>
      </c>
      <c r="AC68" s="60">
        <f>SUM(AC55:AC67)</f>
        <v>431.64</v>
      </c>
      <c r="AD68" s="60">
        <f t="shared" si="7"/>
        <v>431.44</v>
      </c>
      <c r="AE68" s="60">
        <f t="shared" si="7"/>
        <v>428.64</v>
      </c>
      <c r="AF68" s="60">
        <f>SUM(AF55:AF67)</f>
        <v>428.94</v>
      </c>
      <c r="AG68" s="61">
        <f t="shared" si="7"/>
        <v>489.91</v>
      </c>
      <c r="AH68" s="47">
        <f t="shared" si="2"/>
        <v>450.14000000000004</v>
      </c>
      <c r="AI68" s="48">
        <f t="shared" si="3"/>
        <v>3.54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/>
      <c r="Y69" s="45">
        <v>30</v>
      </c>
      <c r="Z69" s="45">
        <v>0</v>
      </c>
      <c r="AA69" s="45">
        <v>0</v>
      </c>
      <c r="AB69" s="45"/>
      <c r="AC69" s="45">
        <v>10</v>
      </c>
      <c r="AD69" s="45"/>
      <c r="AE69" s="45">
        <v>0</v>
      </c>
      <c r="AF69" s="45">
        <v>0</v>
      </c>
      <c r="AG69" s="51">
        <v>60</v>
      </c>
      <c r="AH69" s="47">
        <f t="shared" si="2"/>
        <v>30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64">
        <v>0</v>
      </c>
      <c r="L70" s="64">
        <v>0</v>
      </c>
      <c r="M70" s="64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/>
      <c r="T70" s="64">
        <v>4.5999999999999996</v>
      </c>
      <c r="U70" s="64"/>
      <c r="V70" s="64"/>
      <c r="W70" s="64"/>
      <c r="X70" s="64">
        <v>5.9</v>
      </c>
      <c r="Y70" s="64">
        <v>11.9</v>
      </c>
      <c r="Z70" s="64">
        <v>4.9000000000000004</v>
      </c>
      <c r="AA70" s="64">
        <v>0</v>
      </c>
      <c r="AB70" s="64"/>
      <c r="AC70" s="64">
        <v>6.4</v>
      </c>
      <c r="AD70" s="64"/>
      <c r="AE70" s="64">
        <v>0</v>
      </c>
      <c r="AF70" s="64">
        <v>0</v>
      </c>
      <c r="AG70" s="54">
        <v>32</v>
      </c>
      <c r="AH70" s="47">
        <f t="shared" si="2"/>
        <v>11.9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66">
        <v>0</v>
      </c>
      <c r="L71" s="66">
        <v>0</v>
      </c>
      <c r="M71" s="66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/>
      <c r="T71" s="66">
        <v>1.7</v>
      </c>
      <c r="U71" s="66"/>
      <c r="V71" s="66"/>
      <c r="W71" s="66"/>
      <c r="X71" s="66">
        <v>2.2000000000000002</v>
      </c>
      <c r="Y71" s="66">
        <v>4.3</v>
      </c>
      <c r="Z71" s="66">
        <v>1.8</v>
      </c>
      <c r="AA71" s="66">
        <v>0</v>
      </c>
      <c r="AB71" s="66"/>
      <c r="AC71" s="66">
        <v>2.2999999999999998</v>
      </c>
      <c r="AD71" s="66"/>
      <c r="AE71" s="66">
        <v>0</v>
      </c>
      <c r="AF71" s="66">
        <v>0</v>
      </c>
      <c r="AG71" s="67">
        <v>14</v>
      </c>
      <c r="AH71" s="47">
        <f t="shared" si="2"/>
        <v>4.3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f t="shared" ref="M72:AE72" si="9">M69+M70+M71</f>
        <v>0</v>
      </c>
      <c r="N72" s="60">
        <f t="shared" si="9"/>
        <v>0</v>
      </c>
      <c r="O72" s="60">
        <f t="shared" si="9"/>
        <v>0</v>
      </c>
      <c r="P72" s="60">
        <f t="shared" si="9"/>
        <v>0</v>
      </c>
      <c r="Q72" s="60">
        <f t="shared" si="9"/>
        <v>0</v>
      </c>
      <c r="R72" s="60">
        <f t="shared" si="9"/>
        <v>0</v>
      </c>
      <c r="S72" s="60">
        <f t="shared" si="9"/>
        <v>0</v>
      </c>
      <c r="T72" s="60">
        <f t="shared" si="9"/>
        <v>6.3</v>
      </c>
      <c r="U72" s="60">
        <f t="shared" si="9"/>
        <v>0</v>
      </c>
      <c r="V72" s="60">
        <f t="shared" si="9"/>
        <v>0</v>
      </c>
      <c r="W72" s="60">
        <f t="shared" si="9"/>
        <v>0</v>
      </c>
      <c r="X72" s="60">
        <f t="shared" si="9"/>
        <v>8.1000000000000014</v>
      </c>
      <c r="Y72" s="60">
        <f t="shared" si="9"/>
        <v>46.199999999999996</v>
      </c>
      <c r="Z72" s="60">
        <f t="shared" si="9"/>
        <v>6.7</v>
      </c>
      <c r="AA72" s="60">
        <f t="shared" si="9"/>
        <v>0</v>
      </c>
      <c r="AB72" s="60">
        <f t="shared" si="9"/>
        <v>0</v>
      </c>
      <c r="AC72" s="60">
        <f>AC69+AC70+AC71</f>
        <v>18.7</v>
      </c>
      <c r="AD72" s="60">
        <f t="shared" si="9"/>
        <v>0</v>
      </c>
      <c r="AE72" s="60">
        <f t="shared" si="9"/>
        <v>0</v>
      </c>
      <c r="AF72" s="60">
        <f>AF69+AF70+AF71</f>
        <v>0</v>
      </c>
      <c r="AG72" s="61">
        <f>SUM(AG69:AG71)</f>
        <v>106</v>
      </c>
      <c r="AH72" s="47">
        <f t="shared" si="2"/>
        <v>46.199999999999996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-47</v>
      </c>
      <c r="C73" s="45">
        <v>-50</v>
      </c>
      <c r="D73" s="45">
        <v>-54.8</v>
      </c>
      <c r="E73" s="45">
        <v>-54.4</v>
      </c>
      <c r="F73" s="45">
        <v>-57.8</v>
      </c>
      <c r="G73" s="45">
        <v>-59.8</v>
      </c>
      <c r="H73" s="45">
        <v>-60.1</v>
      </c>
      <c r="I73" s="45">
        <v>-62.5</v>
      </c>
      <c r="J73" s="45">
        <v>-64.5</v>
      </c>
      <c r="K73" s="45">
        <v>-66.3</v>
      </c>
      <c r="L73" s="45">
        <v>-69.8</v>
      </c>
      <c r="M73" s="45">
        <v>-54.4</v>
      </c>
      <c r="N73" s="45">
        <v>-64.900000000000006</v>
      </c>
      <c r="O73" s="45">
        <v>-66.400000000000006</v>
      </c>
      <c r="P73" s="45">
        <v>-62.5</v>
      </c>
      <c r="Q73" s="45">
        <v>-62.5</v>
      </c>
      <c r="R73" s="45">
        <v>-68.5</v>
      </c>
      <c r="S73" s="45">
        <v>-67.2</v>
      </c>
      <c r="T73" s="45">
        <v>-65</v>
      </c>
      <c r="U73" s="45">
        <v>-66.3</v>
      </c>
      <c r="V73" s="45">
        <v>-65</v>
      </c>
      <c r="W73" s="45">
        <v>-67.099999999999994</v>
      </c>
      <c r="X73" s="45">
        <v>-67.5</v>
      </c>
      <c r="Y73" s="45">
        <v>-18.5</v>
      </c>
      <c r="Z73" s="45">
        <v>-7.9</v>
      </c>
      <c r="AA73" s="45">
        <v>-2.8</v>
      </c>
      <c r="AB73" s="45"/>
      <c r="AC73" s="45">
        <v>-5</v>
      </c>
      <c r="AD73" s="45">
        <v>-45.7</v>
      </c>
      <c r="AE73" s="45">
        <v>-49.6</v>
      </c>
      <c r="AF73" s="45">
        <v>-60.1</v>
      </c>
      <c r="AG73" s="51"/>
      <c r="AH73" s="47">
        <f t="shared" si="2"/>
        <v>-2.8</v>
      </c>
      <c r="AI73" s="48">
        <f t="shared" si="3"/>
        <v>-69.8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-597</v>
      </c>
      <c r="C75" s="64">
        <v>-573</v>
      </c>
      <c r="D75" s="64">
        <v>-595.5</v>
      </c>
      <c r="E75" s="64">
        <v>-592.6</v>
      </c>
      <c r="F75" s="64">
        <v>-615.29999999999995</v>
      </c>
      <c r="G75" s="64">
        <v>-654.79999999999995</v>
      </c>
      <c r="H75" s="64">
        <v>-635.70000000000005</v>
      </c>
      <c r="I75" s="64">
        <v>-635.20000000000005</v>
      </c>
      <c r="J75" s="64">
        <v>-628.5</v>
      </c>
      <c r="K75" s="64">
        <v>-649.5</v>
      </c>
      <c r="L75" s="64">
        <v>-622.1</v>
      </c>
      <c r="M75" s="64">
        <v>-657</v>
      </c>
      <c r="N75" s="64">
        <v>-668.7</v>
      </c>
      <c r="O75" s="64">
        <v>-631.5</v>
      </c>
      <c r="P75" s="64">
        <v>-641.1</v>
      </c>
      <c r="Q75" s="64">
        <v>-646.4</v>
      </c>
      <c r="R75" s="64">
        <v>-663.6</v>
      </c>
      <c r="S75" s="64">
        <v>-666</v>
      </c>
      <c r="T75" s="64">
        <v>-643</v>
      </c>
      <c r="U75" s="64">
        <v>-632</v>
      </c>
      <c r="V75" s="64">
        <v>-658</v>
      </c>
      <c r="W75" s="64">
        <v>-640</v>
      </c>
      <c r="X75" s="64">
        <v>-570</v>
      </c>
      <c r="Y75" s="64">
        <v>-573</v>
      </c>
      <c r="Z75" s="64">
        <v>-554</v>
      </c>
      <c r="AA75" s="64">
        <v>-602</v>
      </c>
      <c r="AB75" s="64"/>
      <c r="AC75" s="64">
        <v>-600</v>
      </c>
      <c r="AD75" s="64">
        <v>-645.4</v>
      </c>
      <c r="AE75" s="64">
        <v>-624</v>
      </c>
      <c r="AF75" s="64">
        <v>-618.79999999999995</v>
      </c>
      <c r="AG75" s="74"/>
      <c r="AH75" s="47">
        <f t="shared" si="2"/>
        <v>-554</v>
      </c>
      <c r="AI75" s="48">
        <f t="shared" si="3"/>
        <v>-668.7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64"/>
      <c r="J76" s="64"/>
      <c r="K76" s="75"/>
      <c r="L76" s="75"/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0">MAX(B77:AF77)</f>
        <v>0</v>
      </c>
      <c r="AI77" s="48">
        <f t="shared" ref="AI77:AI120" si="11">MIN(B77:AF77)</f>
        <v>0</v>
      </c>
      <c r="AK77" s="50"/>
    </row>
    <row r="78" spans="1:40" x14ac:dyDescent="0.25">
      <c r="A78" s="53" t="s">
        <v>86</v>
      </c>
      <c r="B78" s="45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0"/>
        <v>0</v>
      </c>
      <c r="AI78" s="48">
        <f t="shared" si="11"/>
        <v>0</v>
      </c>
      <c r="AK78" s="50"/>
    </row>
    <row r="79" spans="1:40" ht="15.75" thickBot="1" x14ac:dyDescent="0.3">
      <c r="A79" s="53" t="s">
        <v>87</v>
      </c>
      <c r="B79" s="45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0"/>
        <v>0</v>
      </c>
      <c r="AI79" s="48">
        <f t="shared" si="11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0"/>
        <v>0</v>
      </c>
      <c r="AI80" s="48">
        <f t="shared" si="11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0"/>
        <v>0</v>
      </c>
      <c r="AI81" s="48">
        <f t="shared" si="11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0"/>
        <v>0</v>
      </c>
      <c r="AI82" s="48">
        <f t="shared" si="11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0"/>
        <v>0</v>
      </c>
      <c r="AI83" s="48">
        <f t="shared" si="11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>SUMIF(B73:B83,"&gt;0")</f>
        <v>0</v>
      </c>
      <c r="C84" s="60">
        <f t="shared" ref="C84:AF84" si="12">SUMIF(C73:C83,"&gt;0")</f>
        <v>0</v>
      </c>
      <c r="D84" s="60">
        <f t="shared" ref="D84:J84" si="13">SUMIF(D73:D83,"&gt;0")</f>
        <v>0</v>
      </c>
      <c r="E84" s="60">
        <f t="shared" si="13"/>
        <v>0</v>
      </c>
      <c r="F84" s="60">
        <f t="shared" si="13"/>
        <v>0</v>
      </c>
      <c r="G84" s="60">
        <f t="shared" si="13"/>
        <v>0</v>
      </c>
      <c r="H84" s="60">
        <f t="shared" si="13"/>
        <v>0</v>
      </c>
      <c r="I84" s="60">
        <f t="shared" si="13"/>
        <v>0</v>
      </c>
      <c r="J84" s="60">
        <f t="shared" si="13"/>
        <v>0</v>
      </c>
      <c r="K84" s="60">
        <f t="shared" si="12"/>
        <v>0</v>
      </c>
      <c r="L84" s="60">
        <f>SUMIF(L73:L83,"&gt;0")</f>
        <v>0</v>
      </c>
      <c r="M84" s="60">
        <f t="shared" si="12"/>
        <v>0</v>
      </c>
      <c r="N84" s="60">
        <f t="shared" si="12"/>
        <v>0</v>
      </c>
      <c r="O84" s="60">
        <f t="shared" si="12"/>
        <v>0</v>
      </c>
      <c r="P84" s="60">
        <f t="shared" si="12"/>
        <v>0</v>
      </c>
      <c r="Q84" s="60">
        <f t="shared" si="12"/>
        <v>0</v>
      </c>
      <c r="R84" s="60">
        <f t="shared" si="12"/>
        <v>0</v>
      </c>
      <c r="S84" s="60">
        <f t="shared" si="12"/>
        <v>0</v>
      </c>
      <c r="T84" s="60">
        <f t="shared" si="12"/>
        <v>0</v>
      </c>
      <c r="U84" s="60">
        <f t="shared" si="12"/>
        <v>0</v>
      </c>
      <c r="V84" s="60">
        <f t="shared" si="12"/>
        <v>0</v>
      </c>
      <c r="W84" s="60">
        <f t="shared" si="12"/>
        <v>0</v>
      </c>
      <c r="X84" s="60">
        <f t="shared" si="12"/>
        <v>0</v>
      </c>
      <c r="Y84" s="60">
        <f t="shared" si="12"/>
        <v>0</v>
      </c>
      <c r="Z84" s="60">
        <f t="shared" si="12"/>
        <v>0</v>
      </c>
      <c r="AA84" s="60">
        <f t="shared" si="12"/>
        <v>0</v>
      </c>
      <c r="AB84" s="60">
        <f t="shared" si="12"/>
        <v>0</v>
      </c>
      <c r="AC84" s="60">
        <f>SUMIF(AC73:AC83,"&gt;0")</f>
        <v>0</v>
      </c>
      <c r="AD84" s="60">
        <f t="shared" si="12"/>
        <v>0</v>
      </c>
      <c r="AE84" s="60">
        <f t="shared" si="12"/>
        <v>0</v>
      </c>
      <c r="AF84" s="60">
        <f t="shared" si="12"/>
        <v>0</v>
      </c>
      <c r="AG84" s="87">
        <f>SUM(AG73:AG83)</f>
        <v>0</v>
      </c>
      <c r="AH84" s="47">
        <f t="shared" si="10"/>
        <v>0</v>
      </c>
      <c r="AI84" s="48">
        <f t="shared" si="11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0"/>
        <v>0</v>
      </c>
      <c r="AI85" s="48">
        <f t="shared" si="11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0"/>
        <v>0</v>
      </c>
      <c r="AI86" s="48">
        <f t="shared" si="11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0"/>
        <v>0</v>
      </c>
      <c r="AI87" s="48">
        <f t="shared" si="11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0"/>
        <v>0</v>
      </c>
      <c r="AI88" s="48">
        <f t="shared" si="11"/>
        <v>0</v>
      </c>
    </row>
    <row r="89" spans="1:40" ht="15.75" thickBot="1" x14ac:dyDescent="0.3">
      <c r="A89" s="73" t="s">
        <v>100</v>
      </c>
      <c r="B89" s="94">
        <f>B50+B54+B72+B68+B84+B88</f>
        <v>2042.04</v>
      </c>
      <c r="C89" s="94">
        <f t="shared" ref="C89:AG89" si="14">C50+C54+C72+C68+C84+C88</f>
        <v>2034.3400000000001</v>
      </c>
      <c r="D89" s="94">
        <f t="shared" ref="D89:J89" si="15">D50+D54+D72+D68+D84+D88</f>
        <v>2018.9399999999998</v>
      </c>
      <c r="E89" s="94">
        <f t="shared" si="15"/>
        <v>2004.19</v>
      </c>
      <c r="F89" s="94">
        <f t="shared" si="15"/>
        <v>1994.19</v>
      </c>
      <c r="G89" s="94">
        <f t="shared" si="15"/>
        <v>2016.29</v>
      </c>
      <c r="H89" s="94">
        <f t="shared" si="15"/>
        <v>2006.29</v>
      </c>
      <c r="I89" s="94">
        <f t="shared" si="15"/>
        <v>2029.79</v>
      </c>
      <c r="J89" s="94">
        <f t="shared" si="15"/>
        <v>2032.79</v>
      </c>
      <c r="K89" s="94">
        <f t="shared" si="14"/>
        <v>2043.9900000000002</v>
      </c>
      <c r="L89" s="94">
        <f>L50+L54+L72+L68+L84+L88</f>
        <v>2046.7900000000002</v>
      </c>
      <c r="M89" s="94">
        <f t="shared" si="14"/>
        <v>2057.29</v>
      </c>
      <c r="N89" s="94">
        <f t="shared" si="14"/>
        <v>2116.34</v>
      </c>
      <c r="O89" s="94">
        <f t="shared" si="14"/>
        <v>2107.54</v>
      </c>
      <c r="P89" s="94">
        <f t="shared" si="14"/>
        <v>2057.14</v>
      </c>
      <c r="Q89" s="94">
        <f t="shared" si="14"/>
        <v>2063.3399999999997</v>
      </c>
      <c r="R89" s="94">
        <f t="shared" si="14"/>
        <v>2060.44</v>
      </c>
      <c r="S89" s="94">
        <f t="shared" si="14"/>
        <v>2031.44</v>
      </c>
      <c r="T89" s="94">
        <f t="shared" si="14"/>
        <v>2035.44</v>
      </c>
      <c r="U89" s="94">
        <f t="shared" si="14"/>
        <v>2028.2400000000002</v>
      </c>
      <c r="V89" s="94">
        <f t="shared" si="14"/>
        <v>2067.84</v>
      </c>
      <c r="W89" s="94">
        <f t="shared" si="14"/>
        <v>2075.94</v>
      </c>
      <c r="X89" s="94">
        <f t="shared" si="14"/>
        <v>2151.34</v>
      </c>
      <c r="Y89" s="94">
        <f t="shared" si="14"/>
        <v>2196.44</v>
      </c>
      <c r="Z89" s="94">
        <f t="shared" si="14"/>
        <v>2148.94</v>
      </c>
      <c r="AA89" s="94">
        <f t="shared" si="14"/>
        <v>2164.54</v>
      </c>
      <c r="AB89" s="94">
        <f t="shared" si="14"/>
        <v>3.54</v>
      </c>
      <c r="AC89" s="94">
        <f>AC50+AC54+AC72+AC68+AC84+AC88</f>
        <v>2181.1400000000003</v>
      </c>
      <c r="AD89" s="94">
        <f t="shared" si="14"/>
        <v>2127.64</v>
      </c>
      <c r="AE89" s="94">
        <f t="shared" si="14"/>
        <v>2077.44</v>
      </c>
      <c r="AF89" s="94">
        <f t="shared" si="14"/>
        <v>2045.3400000000001</v>
      </c>
      <c r="AG89" s="61">
        <f t="shared" si="14"/>
        <v>2111.5500000000002</v>
      </c>
      <c r="AH89" s="47">
        <f t="shared" si="10"/>
        <v>2196.44</v>
      </c>
      <c r="AI89" s="48">
        <f t="shared" si="11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0"/>
        <v>0</v>
      </c>
      <c r="AI90" s="48">
        <f t="shared" si="11"/>
        <v>0</v>
      </c>
    </row>
    <row r="91" spans="1:40" ht="15.75" thickBot="1" x14ac:dyDescent="0.3">
      <c r="A91" s="73" t="s">
        <v>102</v>
      </c>
      <c r="B91" s="94">
        <f>B89+B90</f>
        <v>2042.04</v>
      </c>
      <c r="C91" s="94">
        <f t="shared" ref="C91:AF91" si="16">C89+C90</f>
        <v>2034.3400000000001</v>
      </c>
      <c r="D91" s="94">
        <f t="shared" ref="D91:J91" si="17">D89+D90</f>
        <v>2018.9399999999998</v>
      </c>
      <c r="E91" s="94">
        <f t="shared" si="17"/>
        <v>2004.19</v>
      </c>
      <c r="F91" s="94">
        <f t="shared" si="17"/>
        <v>1994.19</v>
      </c>
      <c r="G91" s="94">
        <f t="shared" si="17"/>
        <v>2016.29</v>
      </c>
      <c r="H91" s="94">
        <f t="shared" si="17"/>
        <v>2006.29</v>
      </c>
      <c r="I91" s="94">
        <f t="shared" si="17"/>
        <v>2029.79</v>
      </c>
      <c r="J91" s="94">
        <f t="shared" si="17"/>
        <v>2032.79</v>
      </c>
      <c r="K91" s="94">
        <f t="shared" si="16"/>
        <v>2043.9900000000002</v>
      </c>
      <c r="L91" s="94">
        <f>L89+L90</f>
        <v>2046.7900000000002</v>
      </c>
      <c r="M91" s="94">
        <f t="shared" si="16"/>
        <v>2057.29</v>
      </c>
      <c r="N91" s="94">
        <f t="shared" si="16"/>
        <v>2116.34</v>
      </c>
      <c r="O91" s="94">
        <f t="shared" si="16"/>
        <v>2107.54</v>
      </c>
      <c r="P91" s="94">
        <f t="shared" si="16"/>
        <v>2057.14</v>
      </c>
      <c r="Q91" s="94">
        <f t="shared" si="16"/>
        <v>2063.3399999999997</v>
      </c>
      <c r="R91" s="94">
        <f t="shared" si="16"/>
        <v>2060.44</v>
      </c>
      <c r="S91" s="94">
        <f t="shared" si="16"/>
        <v>2031.44</v>
      </c>
      <c r="T91" s="94">
        <f t="shared" si="16"/>
        <v>2035.44</v>
      </c>
      <c r="U91" s="94">
        <f t="shared" si="16"/>
        <v>2028.2400000000002</v>
      </c>
      <c r="V91" s="94">
        <f t="shared" si="16"/>
        <v>2067.84</v>
      </c>
      <c r="W91" s="94">
        <f t="shared" si="16"/>
        <v>2075.94</v>
      </c>
      <c r="X91" s="94">
        <f t="shared" si="16"/>
        <v>2151.34</v>
      </c>
      <c r="Y91" s="94">
        <f t="shared" si="16"/>
        <v>2196.44</v>
      </c>
      <c r="Z91" s="94">
        <f t="shared" si="16"/>
        <v>2148.94</v>
      </c>
      <c r="AA91" s="94">
        <f t="shared" si="16"/>
        <v>2164.54</v>
      </c>
      <c r="AB91" s="94">
        <f t="shared" si="16"/>
        <v>3.54</v>
      </c>
      <c r="AC91" s="94">
        <f>AC89+AC90</f>
        <v>2181.1400000000003</v>
      </c>
      <c r="AD91" s="94">
        <f t="shared" si="16"/>
        <v>2127.64</v>
      </c>
      <c r="AE91" s="94">
        <f t="shared" si="16"/>
        <v>2077.44</v>
      </c>
      <c r="AF91" s="94">
        <f t="shared" si="16"/>
        <v>2045.3400000000001</v>
      </c>
      <c r="AG91" s="87">
        <f>AG88+AG84+AG72+AG68+AG50+AG90</f>
        <v>1573.45</v>
      </c>
      <c r="AH91" s="47">
        <f t="shared" si="10"/>
        <v>2196.44</v>
      </c>
      <c r="AI91" s="48">
        <f t="shared" si="11"/>
        <v>3.54</v>
      </c>
    </row>
    <row r="92" spans="1:40" ht="15.75" thickBot="1" x14ac:dyDescent="0.3">
      <c r="A92" s="73" t="s">
        <v>103</v>
      </c>
      <c r="B92" s="94">
        <f>B91-(-B99)</f>
        <v>1445.04</v>
      </c>
      <c r="C92" s="94">
        <f t="shared" ref="C92:AF92" si="18">C91-(-C99)</f>
        <v>1461.3400000000001</v>
      </c>
      <c r="D92" s="94">
        <f t="shared" ref="D92:J92" si="19">D91-(-D99)</f>
        <v>1423.4399999999998</v>
      </c>
      <c r="E92" s="94">
        <f t="shared" si="19"/>
        <v>1411.5900000000001</v>
      </c>
      <c r="F92" s="94">
        <f t="shared" si="19"/>
        <v>1378.89</v>
      </c>
      <c r="G92" s="94">
        <f t="shared" si="19"/>
        <v>1361.49</v>
      </c>
      <c r="H92" s="94">
        <f t="shared" si="19"/>
        <v>1370.59</v>
      </c>
      <c r="I92" s="94">
        <f t="shared" si="19"/>
        <v>1394.59</v>
      </c>
      <c r="J92" s="94">
        <f t="shared" si="19"/>
        <v>1404.29</v>
      </c>
      <c r="K92" s="94">
        <f t="shared" si="18"/>
        <v>1394.4900000000002</v>
      </c>
      <c r="L92" s="94">
        <f>L91-(-L99)</f>
        <v>1424.69</v>
      </c>
      <c r="M92" s="94">
        <f t="shared" si="18"/>
        <v>1400.29</v>
      </c>
      <c r="N92" s="94">
        <f t="shared" si="18"/>
        <v>1447.64</v>
      </c>
      <c r="O92" s="94">
        <f t="shared" si="18"/>
        <v>1476.04</v>
      </c>
      <c r="P92" s="94">
        <f t="shared" si="18"/>
        <v>1416.04</v>
      </c>
      <c r="Q92" s="94">
        <f t="shared" si="18"/>
        <v>1416.9399999999996</v>
      </c>
      <c r="R92" s="94">
        <f t="shared" si="18"/>
        <v>1396.8400000000001</v>
      </c>
      <c r="S92" s="94">
        <f t="shared" si="18"/>
        <v>1365.44</v>
      </c>
      <c r="T92" s="94">
        <f t="shared" si="18"/>
        <v>1392.44</v>
      </c>
      <c r="U92" s="94">
        <f t="shared" si="18"/>
        <v>1396.2400000000002</v>
      </c>
      <c r="V92" s="94">
        <f t="shared" si="18"/>
        <v>1409.8400000000001</v>
      </c>
      <c r="W92" s="94">
        <f t="shared" si="18"/>
        <v>1435.94</v>
      </c>
      <c r="X92" s="94">
        <f t="shared" si="18"/>
        <v>1581.3400000000001</v>
      </c>
      <c r="Y92" s="94">
        <f t="shared" si="18"/>
        <v>1623.44</v>
      </c>
      <c r="Z92" s="94">
        <f t="shared" si="18"/>
        <v>1594.94</v>
      </c>
      <c r="AA92" s="94">
        <f t="shared" si="18"/>
        <v>1562.54</v>
      </c>
      <c r="AB92" s="94">
        <f t="shared" si="18"/>
        <v>3.54</v>
      </c>
      <c r="AC92" s="94">
        <f>AC91-(-AC99)</f>
        <v>1581.1400000000003</v>
      </c>
      <c r="AD92" s="94">
        <f t="shared" si="18"/>
        <v>1482.2399999999998</v>
      </c>
      <c r="AE92" s="94">
        <f t="shared" si="18"/>
        <v>1453.44</v>
      </c>
      <c r="AF92" s="94">
        <f t="shared" si="18"/>
        <v>1426.5400000000002</v>
      </c>
      <c r="AG92" s="87"/>
      <c r="AH92" s="47">
        <f t="shared" si="10"/>
        <v>1623.44</v>
      </c>
      <c r="AI92" s="48">
        <f t="shared" si="11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0"/>
        <v>0</v>
      </c>
      <c r="AI93" s="48">
        <f t="shared" si="11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0"/>
        <v>0</v>
      </c>
      <c r="AI94" s="48">
        <f t="shared" si="11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0"/>
        <v>0</v>
      </c>
      <c r="AI95" s="48">
        <f t="shared" si="11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0"/>
        <v>0</v>
      </c>
      <c r="AI96" s="48">
        <f t="shared" si="11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0"/>
        <v>0</v>
      </c>
      <c r="AI97" s="48">
        <f t="shared" si="11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0"/>
        <v>0</v>
      </c>
      <c r="AI98" s="48">
        <f t="shared" si="11"/>
        <v>0</v>
      </c>
    </row>
    <row r="99" spans="1:37" ht="15.75" thickBot="1" x14ac:dyDescent="0.3">
      <c r="A99" s="98" t="s">
        <v>107</v>
      </c>
      <c r="B99" s="60">
        <f>B75</f>
        <v>-597</v>
      </c>
      <c r="C99" s="60">
        <f t="shared" ref="C99:AF99" si="20">C75</f>
        <v>-573</v>
      </c>
      <c r="D99" s="60">
        <f t="shared" ref="D99:J99" si="21">D75</f>
        <v>-595.5</v>
      </c>
      <c r="E99" s="60">
        <f t="shared" si="21"/>
        <v>-592.6</v>
      </c>
      <c r="F99" s="60">
        <f t="shared" si="21"/>
        <v>-615.29999999999995</v>
      </c>
      <c r="G99" s="60">
        <f t="shared" si="21"/>
        <v>-654.79999999999995</v>
      </c>
      <c r="H99" s="60">
        <f t="shared" si="21"/>
        <v>-635.70000000000005</v>
      </c>
      <c r="I99" s="60">
        <f t="shared" si="21"/>
        <v>-635.20000000000005</v>
      </c>
      <c r="J99" s="60">
        <f t="shared" si="21"/>
        <v>-628.5</v>
      </c>
      <c r="K99" s="60">
        <f t="shared" si="20"/>
        <v>-649.5</v>
      </c>
      <c r="L99" s="60">
        <f>L75</f>
        <v>-622.1</v>
      </c>
      <c r="M99" s="60">
        <f t="shared" si="20"/>
        <v>-657</v>
      </c>
      <c r="N99" s="60">
        <f t="shared" si="20"/>
        <v>-668.7</v>
      </c>
      <c r="O99" s="60">
        <f t="shared" si="20"/>
        <v>-631.5</v>
      </c>
      <c r="P99" s="60">
        <f t="shared" si="20"/>
        <v>-641.1</v>
      </c>
      <c r="Q99" s="60">
        <f t="shared" si="20"/>
        <v>-646.4</v>
      </c>
      <c r="R99" s="60">
        <f t="shared" si="20"/>
        <v>-663.6</v>
      </c>
      <c r="S99" s="60">
        <f t="shared" si="20"/>
        <v>-666</v>
      </c>
      <c r="T99" s="60">
        <f t="shared" si="20"/>
        <v>-643</v>
      </c>
      <c r="U99" s="60">
        <f t="shared" si="20"/>
        <v>-632</v>
      </c>
      <c r="V99" s="60">
        <f t="shared" si="20"/>
        <v>-658</v>
      </c>
      <c r="W99" s="60">
        <f t="shared" si="20"/>
        <v>-640</v>
      </c>
      <c r="X99" s="60">
        <f t="shared" si="20"/>
        <v>-570</v>
      </c>
      <c r="Y99" s="60">
        <f t="shared" si="20"/>
        <v>-573</v>
      </c>
      <c r="Z99" s="60">
        <f t="shared" si="20"/>
        <v>-554</v>
      </c>
      <c r="AA99" s="60">
        <f t="shared" si="20"/>
        <v>-602</v>
      </c>
      <c r="AB99" s="60">
        <f t="shared" si="20"/>
        <v>0</v>
      </c>
      <c r="AC99" s="60">
        <f>AC75</f>
        <v>-600</v>
      </c>
      <c r="AD99" s="60">
        <f t="shared" si="20"/>
        <v>-645.4</v>
      </c>
      <c r="AE99" s="60">
        <f t="shared" si="20"/>
        <v>-624</v>
      </c>
      <c r="AF99" s="60">
        <f t="shared" si="20"/>
        <v>-618.79999999999995</v>
      </c>
      <c r="AG99" s="87"/>
      <c r="AH99" s="47">
        <f t="shared" si="10"/>
        <v>0</v>
      </c>
      <c r="AI99" s="48">
        <f t="shared" si="11"/>
        <v>-668.7</v>
      </c>
      <c r="AK99" s="50"/>
    </row>
    <row r="100" spans="1:37" ht="15.75" thickBot="1" x14ac:dyDescent="0.3">
      <c r="A100" s="73" t="s">
        <v>108</v>
      </c>
      <c r="B100" s="60">
        <f>B84-B99</f>
        <v>597</v>
      </c>
      <c r="C100" s="60">
        <f t="shared" ref="C100:AF100" si="22">C84-C99</f>
        <v>573</v>
      </c>
      <c r="D100" s="60">
        <f t="shared" ref="D100:J100" si="23">D84-D99</f>
        <v>595.5</v>
      </c>
      <c r="E100" s="60">
        <f t="shared" si="23"/>
        <v>592.6</v>
      </c>
      <c r="F100" s="60">
        <f t="shared" si="23"/>
        <v>615.29999999999995</v>
      </c>
      <c r="G100" s="60">
        <f t="shared" si="23"/>
        <v>654.79999999999995</v>
      </c>
      <c r="H100" s="60">
        <f t="shared" si="23"/>
        <v>635.70000000000005</v>
      </c>
      <c r="I100" s="60">
        <f t="shared" si="23"/>
        <v>635.20000000000005</v>
      </c>
      <c r="J100" s="60">
        <f t="shared" si="23"/>
        <v>628.5</v>
      </c>
      <c r="K100" s="60">
        <f t="shared" si="22"/>
        <v>649.5</v>
      </c>
      <c r="L100" s="60">
        <f>L84-L99</f>
        <v>622.1</v>
      </c>
      <c r="M100" s="60">
        <f t="shared" si="22"/>
        <v>657</v>
      </c>
      <c r="N100" s="60">
        <f t="shared" si="22"/>
        <v>668.7</v>
      </c>
      <c r="O100" s="60">
        <f t="shared" si="22"/>
        <v>631.5</v>
      </c>
      <c r="P100" s="60">
        <f t="shared" si="22"/>
        <v>641.1</v>
      </c>
      <c r="Q100" s="60">
        <f t="shared" si="22"/>
        <v>646.4</v>
      </c>
      <c r="R100" s="60">
        <f t="shared" si="22"/>
        <v>663.6</v>
      </c>
      <c r="S100" s="60">
        <f t="shared" si="22"/>
        <v>666</v>
      </c>
      <c r="T100" s="60">
        <f t="shared" si="22"/>
        <v>643</v>
      </c>
      <c r="U100" s="60">
        <f t="shared" si="22"/>
        <v>632</v>
      </c>
      <c r="V100" s="60">
        <f t="shared" si="22"/>
        <v>658</v>
      </c>
      <c r="W100" s="60">
        <f t="shared" si="22"/>
        <v>640</v>
      </c>
      <c r="X100" s="60">
        <f t="shared" si="22"/>
        <v>570</v>
      </c>
      <c r="Y100" s="60">
        <f t="shared" si="22"/>
        <v>573</v>
      </c>
      <c r="Z100" s="60">
        <f t="shared" si="22"/>
        <v>554</v>
      </c>
      <c r="AA100" s="60">
        <f t="shared" si="22"/>
        <v>602</v>
      </c>
      <c r="AB100" s="60">
        <f t="shared" si="22"/>
        <v>0</v>
      </c>
      <c r="AC100" s="60">
        <f>AC84-AC99</f>
        <v>600</v>
      </c>
      <c r="AD100" s="60">
        <f t="shared" si="22"/>
        <v>645.4</v>
      </c>
      <c r="AE100" s="60">
        <f t="shared" si="22"/>
        <v>624</v>
      </c>
      <c r="AF100" s="60">
        <f t="shared" si="22"/>
        <v>618.79999999999995</v>
      </c>
      <c r="AG100" s="87"/>
      <c r="AH100" s="47">
        <f t="shared" si="10"/>
        <v>668.7</v>
      </c>
      <c r="AI100" s="48">
        <f t="shared" si="11"/>
        <v>0</v>
      </c>
    </row>
    <row r="101" spans="1:37" x14ac:dyDescent="0.25">
      <c r="A101" s="99" t="s">
        <v>109</v>
      </c>
      <c r="B101" s="100">
        <v>49.88</v>
      </c>
      <c r="C101" s="100">
        <v>50.06</v>
      </c>
      <c r="D101" s="100">
        <v>50.04</v>
      </c>
      <c r="E101" s="100">
        <v>50</v>
      </c>
      <c r="F101" s="100">
        <v>49.99</v>
      </c>
      <c r="G101" s="100">
        <v>49.91</v>
      </c>
      <c r="H101" s="100">
        <v>50.02</v>
      </c>
      <c r="I101" s="100">
        <v>50.03</v>
      </c>
      <c r="J101" s="100">
        <v>50.029000000000003</v>
      </c>
      <c r="K101" s="100">
        <v>50</v>
      </c>
      <c r="L101" s="100">
        <v>49.99</v>
      </c>
      <c r="M101" s="100">
        <v>50.098999999999997</v>
      </c>
      <c r="N101" s="100">
        <v>50.003</v>
      </c>
      <c r="O101" s="100">
        <v>50.057000000000002</v>
      </c>
      <c r="P101" s="100">
        <v>50.055</v>
      </c>
      <c r="Q101" s="100">
        <v>50</v>
      </c>
      <c r="R101" s="100">
        <v>49.904000000000003</v>
      </c>
      <c r="S101" s="100">
        <v>49.962000000000003</v>
      </c>
      <c r="T101" s="100">
        <v>49.962000000000003</v>
      </c>
      <c r="U101" s="100">
        <v>49.881</v>
      </c>
      <c r="V101" s="100">
        <v>49.703000000000003</v>
      </c>
      <c r="W101" s="100">
        <v>49.942999999999998</v>
      </c>
      <c r="X101" s="100">
        <v>49.755000000000003</v>
      </c>
      <c r="Y101" s="100">
        <v>49.747</v>
      </c>
      <c r="Z101" s="100">
        <v>50.000999999999998</v>
      </c>
      <c r="AA101" s="100">
        <v>49.978999999999999</v>
      </c>
      <c r="AB101" s="100"/>
      <c r="AC101" s="100">
        <v>50.03</v>
      </c>
      <c r="AD101" s="100">
        <v>49.926000000000002</v>
      </c>
      <c r="AE101" s="100">
        <v>50</v>
      </c>
      <c r="AF101" s="100">
        <v>49.9</v>
      </c>
      <c r="AG101" s="101"/>
      <c r="AH101" s="47">
        <f t="shared" si="10"/>
        <v>50.098999999999997</v>
      </c>
      <c r="AI101" s="48">
        <f t="shared" si="11"/>
        <v>49.703000000000003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0"/>
        <v>0</v>
      </c>
      <c r="AI102" s="48">
        <f t="shared" si="11"/>
        <v>0</v>
      </c>
    </row>
    <row r="103" spans="1:37" x14ac:dyDescent="0.25">
      <c r="A103" s="102" t="s">
        <v>111</v>
      </c>
      <c r="B103" s="64">
        <v>128</v>
      </c>
      <c r="C103" s="64">
        <v>129</v>
      </c>
      <c r="D103" s="64">
        <v>129.9</v>
      </c>
      <c r="E103" s="64">
        <v>128.9</v>
      </c>
      <c r="F103" s="64">
        <v>128.19999999999999</v>
      </c>
      <c r="G103" s="64">
        <v>128.19999999999999</v>
      </c>
      <c r="H103" s="64">
        <v>130</v>
      </c>
      <c r="I103" s="64">
        <v>130.1</v>
      </c>
      <c r="J103" s="64">
        <v>128.19999999999999</v>
      </c>
      <c r="K103" s="64">
        <v>129.5</v>
      </c>
      <c r="L103" s="64">
        <v>128.30000000000001</v>
      </c>
      <c r="M103" s="64">
        <v>126.6</v>
      </c>
      <c r="N103" s="64">
        <v>126.5</v>
      </c>
      <c r="O103" s="64">
        <v>128.69999999999999</v>
      </c>
      <c r="P103" s="64">
        <v>129</v>
      </c>
      <c r="Q103" s="64">
        <v>128.5</v>
      </c>
      <c r="R103" s="64">
        <v>130</v>
      </c>
      <c r="S103" s="64">
        <v>129.19999999999999</v>
      </c>
      <c r="T103" s="64">
        <v>129.19999999999999</v>
      </c>
      <c r="U103" s="64">
        <v>128.4</v>
      </c>
      <c r="V103" s="64">
        <v>127.5</v>
      </c>
      <c r="W103" s="64">
        <v>128</v>
      </c>
      <c r="X103" s="64">
        <v>125.6</v>
      </c>
      <c r="Y103" s="64">
        <v>127.4</v>
      </c>
      <c r="Z103" s="64">
        <v>127.9</v>
      </c>
      <c r="AA103" s="64">
        <v>127.6</v>
      </c>
      <c r="AB103" s="64"/>
      <c r="AC103" s="64">
        <v>128</v>
      </c>
      <c r="AD103" s="64">
        <v>128</v>
      </c>
      <c r="AE103" s="64">
        <v>128.5</v>
      </c>
      <c r="AF103" s="64">
        <v>128.4</v>
      </c>
      <c r="AG103" s="103"/>
      <c r="AH103" s="47">
        <f t="shared" si="10"/>
        <v>130.1</v>
      </c>
      <c r="AI103" s="48">
        <f t="shared" si="11"/>
        <v>125.6</v>
      </c>
    </row>
    <row r="104" spans="1:37" x14ac:dyDescent="0.25">
      <c r="A104" s="102" t="s">
        <v>112</v>
      </c>
      <c r="B104" s="64">
        <v>129</v>
      </c>
      <c r="C104" s="64">
        <v>130</v>
      </c>
      <c r="D104" s="64">
        <v>130.1</v>
      </c>
      <c r="E104" s="64">
        <v>130.6</v>
      </c>
      <c r="F104" s="64">
        <v>131</v>
      </c>
      <c r="G104" s="64">
        <v>131</v>
      </c>
      <c r="H104" s="64">
        <v>131.1</v>
      </c>
      <c r="I104" s="64">
        <v>131.30000000000001</v>
      </c>
      <c r="J104" s="64">
        <v>129</v>
      </c>
      <c r="K104" s="64">
        <v>129.30000000000001</v>
      </c>
      <c r="L104" s="64">
        <v>128.6</v>
      </c>
      <c r="M104" s="64">
        <v>128.80000000000001</v>
      </c>
      <c r="N104" s="64">
        <v>128.30000000000001</v>
      </c>
      <c r="O104" s="64">
        <v>128.69999999999999</v>
      </c>
      <c r="P104" s="64">
        <v>128.30000000000001</v>
      </c>
      <c r="Q104" s="64">
        <v>128.6</v>
      </c>
      <c r="R104" s="64">
        <v>128.9</v>
      </c>
      <c r="S104" s="64">
        <v>128.4</v>
      </c>
      <c r="T104" s="64">
        <v>128.4</v>
      </c>
      <c r="U104" s="64">
        <v>129.4</v>
      </c>
      <c r="V104" s="64">
        <v>130.1</v>
      </c>
      <c r="W104" s="64">
        <v>130.69999999999999</v>
      </c>
      <c r="X104" s="64">
        <v>129</v>
      </c>
      <c r="Y104" s="64">
        <v>127</v>
      </c>
      <c r="Z104" s="64">
        <v>129.19999999999999</v>
      </c>
      <c r="AA104" s="64">
        <v>127.7</v>
      </c>
      <c r="AB104" s="64"/>
      <c r="AC104" s="64">
        <v>128</v>
      </c>
      <c r="AD104" s="64">
        <v>127.9</v>
      </c>
      <c r="AE104" s="64">
        <v>129.30000000000001</v>
      </c>
      <c r="AF104" s="64">
        <v>128.1</v>
      </c>
      <c r="AG104" s="103"/>
      <c r="AH104" s="47">
        <f t="shared" si="10"/>
        <v>131.30000000000001</v>
      </c>
      <c r="AI104" s="48">
        <f t="shared" si="11"/>
        <v>127</v>
      </c>
    </row>
    <row r="105" spans="1:37" x14ac:dyDescent="0.25">
      <c r="A105" s="104" t="s">
        <v>113</v>
      </c>
      <c r="B105" s="64">
        <v>132</v>
      </c>
      <c r="C105" s="64">
        <v>133</v>
      </c>
      <c r="D105" s="64">
        <v>133.9</v>
      </c>
      <c r="E105" s="64">
        <v>134.4</v>
      </c>
      <c r="F105" s="64">
        <v>134.5</v>
      </c>
      <c r="G105" s="64">
        <v>134.5</v>
      </c>
      <c r="H105" s="64">
        <v>132.1</v>
      </c>
      <c r="I105" s="64">
        <v>132.80000000000001</v>
      </c>
      <c r="J105" s="64">
        <v>130.5</v>
      </c>
      <c r="K105" s="64">
        <v>130.6</v>
      </c>
      <c r="L105" s="64">
        <v>129.6</v>
      </c>
      <c r="M105" s="64">
        <v>129.9</v>
      </c>
      <c r="N105" s="64">
        <v>130.69999999999999</v>
      </c>
      <c r="O105" s="64">
        <v>131.69999999999999</v>
      </c>
      <c r="P105" s="64">
        <v>130.69999999999999</v>
      </c>
      <c r="Q105" s="64">
        <v>131.19999999999999</v>
      </c>
      <c r="R105" s="64">
        <v>131.30000000000001</v>
      </c>
      <c r="S105" s="64">
        <v>130.69999999999999</v>
      </c>
      <c r="T105" s="64">
        <v>130.69999999999999</v>
      </c>
      <c r="U105" s="64">
        <v>132.1</v>
      </c>
      <c r="V105" s="64">
        <v>132.4</v>
      </c>
      <c r="W105" s="64">
        <v>132.80000000000001</v>
      </c>
      <c r="X105" s="64">
        <v>130.9</v>
      </c>
      <c r="Y105" s="64">
        <v>129.80000000000001</v>
      </c>
      <c r="Z105" s="64">
        <v>131.4</v>
      </c>
      <c r="AA105" s="64">
        <v>130.4</v>
      </c>
      <c r="AB105" s="64"/>
      <c r="AC105" s="64">
        <v>131.30000000000001</v>
      </c>
      <c r="AD105" s="64">
        <v>131.6</v>
      </c>
      <c r="AE105" s="64">
        <v>132.80000000000001</v>
      </c>
      <c r="AF105" s="64">
        <v>131.30000000000001</v>
      </c>
      <c r="AG105" s="103"/>
      <c r="AH105" s="47">
        <f t="shared" si="10"/>
        <v>134.5</v>
      </c>
      <c r="AI105" s="48">
        <f t="shared" si="11"/>
        <v>129.6</v>
      </c>
    </row>
    <row r="106" spans="1:37" x14ac:dyDescent="0.25">
      <c r="A106" s="104" t="s">
        <v>114</v>
      </c>
      <c r="B106" s="105">
        <v>128.5</v>
      </c>
      <c r="C106" s="105">
        <v>133</v>
      </c>
      <c r="D106" s="105">
        <v>132.9</v>
      </c>
      <c r="E106" s="105">
        <v>128.9</v>
      </c>
      <c r="F106" s="105">
        <v>129.19999999999999</v>
      </c>
      <c r="G106" s="105">
        <v>129.19999999999999</v>
      </c>
      <c r="H106" s="105">
        <v>133.6</v>
      </c>
      <c r="I106" s="105">
        <v>135</v>
      </c>
      <c r="J106" s="105">
        <v>130.6</v>
      </c>
      <c r="K106" s="105">
        <v>132.6</v>
      </c>
      <c r="L106" s="105">
        <v>132.30000000000001</v>
      </c>
      <c r="M106" s="105">
        <v>129.69999999999999</v>
      </c>
      <c r="N106" s="105">
        <v>144.6</v>
      </c>
      <c r="O106" s="105">
        <v>134.5</v>
      </c>
      <c r="P106" s="105">
        <v>131.9</v>
      </c>
      <c r="Q106" s="105">
        <v>129.69999999999999</v>
      </c>
      <c r="R106" s="105">
        <v>133.6</v>
      </c>
      <c r="S106" s="105">
        <v>133.30000000000001</v>
      </c>
      <c r="T106" s="105">
        <v>133.30000000000001</v>
      </c>
      <c r="U106" s="105">
        <v>133.9</v>
      </c>
      <c r="V106" s="105">
        <v>130.9</v>
      </c>
      <c r="W106" s="105">
        <v>134.30000000000001</v>
      </c>
      <c r="X106" s="105">
        <v>133.5</v>
      </c>
      <c r="Y106" s="105">
        <v>134.9</v>
      </c>
      <c r="Z106" s="105">
        <v>135.1</v>
      </c>
      <c r="AA106" s="105">
        <v>133.5</v>
      </c>
      <c r="AB106" s="105"/>
      <c r="AC106" s="105">
        <v>131.69999999999999</v>
      </c>
      <c r="AD106" s="105">
        <v>132.6</v>
      </c>
      <c r="AE106" s="105">
        <v>134.19999999999999</v>
      </c>
      <c r="AF106" s="105">
        <v>129.5</v>
      </c>
      <c r="AG106" s="106"/>
      <c r="AH106" s="47">
        <f t="shared" si="10"/>
        <v>144.6</v>
      </c>
      <c r="AI106" s="48">
        <f t="shared" si="11"/>
        <v>128.5</v>
      </c>
    </row>
    <row r="107" spans="1:37" x14ac:dyDescent="0.25">
      <c r="A107" s="102" t="s">
        <v>115</v>
      </c>
      <c r="B107" s="64">
        <v>127</v>
      </c>
      <c r="C107" s="64">
        <v>138</v>
      </c>
      <c r="D107" s="64">
        <v>133.30000000000001</v>
      </c>
      <c r="E107" s="64">
        <v>125.1</v>
      </c>
      <c r="F107" s="64">
        <v>127.9</v>
      </c>
      <c r="G107" s="64">
        <v>127.9</v>
      </c>
      <c r="H107" s="64">
        <v>133.9</v>
      </c>
      <c r="I107" s="64">
        <v>136.80000000000001</v>
      </c>
      <c r="J107" s="64">
        <v>128.4</v>
      </c>
      <c r="K107" s="64">
        <v>131</v>
      </c>
      <c r="L107" s="64">
        <v>133.9</v>
      </c>
      <c r="M107" s="64">
        <v>129.9</v>
      </c>
      <c r="N107" s="64">
        <v>132.80000000000001</v>
      </c>
      <c r="O107" s="64">
        <v>133.9</v>
      </c>
      <c r="P107" s="64">
        <v>132</v>
      </c>
      <c r="Q107" s="64">
        <v>129.69999999999999</v>
      </c>
      <c r="R107" s="64">
        <v>132.30000000000001</v>
      </c>
      <c r="S107" s="64">
        <v>134</v>
      </c>
      <c r="T107" s="64">
        <v>134</v>
      </c>
      <c r="U107" s="64">
        <v>133.6</v>
      </c>
      <c r="V107" s="64">
        <v>127.8</v>
      </c>
      <c r="W107" s="64">
        <v>132.80000000000001</v>
      </c>
      <c r="X107" s="64">
        <v>134.5</v>
      </c>
      <c r="Y107" s="64">
        <v>130.69999999999999</v>
      </c>
      <c r="Z107" s="64">
        <v>137.69999999999999</v>
      </c>
      <c r="AA107" s="64">
        <v>130</v>
      </c>
      <c r="AB107" s="64"/>
      <c r="AC107" s="64">
        <v>129.80000000000001</v>
      </c>
      <c r="AD107" s="64">
        <v>131.4</v>
      </c>
      <c r="AE107" s="64">
        <v>131.5</v>
      </c>
      <c r="AF107" s="64">
        <v>128.19999999999999</v>
      </c>
      <c r="AG107" s="103"/>
      <c r="AH107" s="47">
        <f t="shared" si="10"/>
        <v>138</v>
      </c>
      <c r="AI107" s="48">
        <f t="shared" si="11"/>
        <v>125.1</v>
      </c>
    </row>
    <row r="108" spans="1:37" ht="15.75" thickBot="1" x14ac:dyDescent="0.3">
      <c r="A108" s="102" t="s">
        <v>116</v>
      </c>
      <c r="B108" s="91">
        <v>64.099999999999994</v>
      </c>
      <c r="C108" s="91">
        <v>65.400000000000006</v>
      </c>
      <c r="D108" s="91">
        <v>65.400000000000006</v>
      </c>
      <c r="E108" s="91">
        <v>65.3</v>
      </c>
      <c r="F108" s="91">
        <v>64.599999999999994</v>
      </c>
      <c r="G108" s="91">
        <v>64.599999999999994</v>
      </c>
      <c r="H108" s="91">
        <v>65.7</v>
      </c>
      <c r="I108" s="91">
        <v>65.7</v>
      </c>
      <c r="J108" s="91">
        <v>64.8</v>
      </c>
      <c r="K108" s="91">
        <v>65.3</v>
      </c>
      <c r="L108" s="91">
        <v>64.400000000000006</v>
      </c>
      <c r="M108" s="91">
        <v>63.8</v>
      </c>
      <c r="N108" s="91">
        <v>63.8</v>
      </c>
      <c r="O108" s="91">
        <v>65</v>
      </c>
      <c r="P108" s="91">
        <v>65.2</v>
      </c>
      <c r="Q108" s="91">
        <v>64.599999999999994</v>
      </c>
      <c r="R108" s="91">
        <v>65.400000000000006</v>
      </c>
      <c r="S108" s="91">
        <v>65</v>
      </c>
      <c r="T108" s="91">
        <v>65</v>
      </c>
      <c r="U108" s="91">
        <v>64.7</v>
      </c>
      <c r="V108" s="91">
        <v>64</v>
      </c>
      <c r="W108" s="91">
        <v>64.599999999999994</v>
      </c>
      <c r="X108" s="91">
        <v>63.2</v>
      </c>
      <c r="Y108" s="91">
        <v>64.099999999999994</v>
      </c>
      <c r="Z108" s="91">
        <v>64.599999999999994</v>
      </c>
      <c r="AA108" s="91">
        <v>64.5</v>
      </c>
      <c r="AB108" s="91"/>
      <c r="AC108" s="91">
        <v>64.5</v>
      </c>
      <c r="AD108" s="91">
        <v>64.7</v>
      </c>
      <c r="AE108" s="91">
        <v>65.099999999999994</v>
      </c>
      <c r="AF108" s="91">
        <v>65.099999999999994</v>
      </c>
      <c r="AG108" s="107"/>
      <c r="AH108" s="47">
        <f t="shared" si="10"/>
        <v>65.7</v>
      </c>
      <c r="AI108" s="48">
        <f t="shared" si="11"/>
        <v>63.2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0"/>
        <v>0</v>
      </c>
      <c r="AI109" s="48">
        <f t="shared" si="11"/>
        <v>0</v>
      </c>
    </row>
    <row r="110" spans="1:37" ht="15.75" thickBot="1" x14ac:dyDescent="0.3">
      <c r="A110" s="109" t="s">
        <v>118</v>
      </c>
      <c r="B110" s="110">
        <f t="shared" ref="B110:O110" si="24">SUM(B20,B26,B29:B30,B58,B60:B61,B63,B65,B111:B115,B138,B144,B150,B159,B161,B173,B180,B183:B184,B191,B193,B195,B199:B201,B203:B205,B210,B216:B217,B219:B221,B229,B234)</f>
        <v>59.5</v>
      </c>
      <c r="C110" s="110">
        <f t="shared" si="24"/>
        <v>44.240000000000009</v>
      </c>
      <c r="D110" s="110">
        <f t="shared" si="24"/>
        <v>43.94</v>
      </c>
      <c r="E110" s="110">
        <f t="shared" si="24"/>
        <v>40.639999999999993</v>
      </c>
      <c r="F110" s="110">
        <f t="shared" si="24"/>
        <v>50.44</v>
      </c>
      <c r="G110" s="110">
        <f t="shared" si="24"/>
        <v>56.840000000000053</v>
      </c>
      <c r="H110" s="110">
        <f t="shared" si="24"/>
        <v>325.64</v>
      </c>
      <c r="I110" s="110">
        <f t="shared" si="24"/>
        <v>94.24</v>
      </c>
      <c r="J110" s="110">
        <f t="shared" si="24"/>
        <v>114.03999999999999</v>
      </c>
      <c r="K110" s="110">
        <f t="shared" si="24"/>
        <v>138.84000000000003</v>
      </c>
      <c r="L110" s="110">
        <f t="shared" si="24"/>
        <v>169.04000000000002</v>
      </c>
      <c r="M110" s="110">
        <f t="shared" si="24"/>
        <v>181.94000000000003</v>
      </c>
      <c r="N110" s="110">
        <f t="shared" si="24"/>
        <v>205.74</v>
      </c>
      <c r="O110" s="110">
        <f t="shared" si="24"/>
        <v>207.33999999999997</v>
      </c>
      <c r="P110" s="110">
        <v>42</v>
      </c>
      <c r="Q110" s="110">
        <f t="shared" ref="Q110:AF110" si="25">SUM(Q20,Q26,Q29:Q30,Q58,Q60:Q61,Q63,Q65,Q111:Q115,Q138,Q144,Q150,Q159,Q161,Q173,Q180,Q183:Q184,Q191,Q193,Q195,Q199:Q201,Q203:Q205,Q210,Q216:Q217,Q219:Q221,Q229,Q234)</f>
        <v>124.7</v>
      </c>
      <c r="R110" s="110">
        <f t="shared" si="25"/>
        <v>131.79999999999998</v>
      </c>
      <c r="S110" s="110">
        <f t="shared" si="25"/>
        <v>138.10000000000002</v>
      </c>
      <c r="T110" s="110">
        <f t="shared" si="25"/>
        <v>133</v>
      </c>
      <c r="U110" s="110">
        <f t="shared" si="25"/>
        <v>140.59999999999997</v>
      </c>
      <c r="V110" s="110">
        <f t="shared" si="25"/>
        <v>170.7</v>
      </c>
      <c r="W110" s="110">
        <f t="shared" si="25"/>
        <v>182.39999999999998</v>
      </c>
      <c r="X110" s="110">
        <f t="shared" si="25"/>
        <v>249.20000000000005</v>
      </c>
      <c r="Y110" s="110">
        <f t="shared" si="25"/>
        <v>288.59999999999997</v>
      </c>
      <c r="Z110" s="110">
        <f t="shared" si="25"/>
        <v>265.39999999999998</v>
      </c>
      <c r="AA110" s="110">
        <f t="shared" si="25"/>
        <v>226</v>
      </c>
      <c r="AB110" s="110">
        <f t="shared" si="25"/>
        <v>0</v>
      </c>
      <c r="AC110" s="110">
        <f t="shared" si="25"/>
        <v>163.60000000000002</v>
      </c>
      <c r="AD110" s="110"/>
      <c r="AE110" s="110">
        <f t="shared" si="25"/>
        <v>96.500000000000043</v>
      </c>
      <c r="AF110" s="110">
        <f t="shared" si="25"/>
        <v>37.10000000000003</v>
      </c>
      <c r="AG110" s="111"/>
      <c r="AH110" s="47">
        <f t="shared" si="10"/>
        <v>325.64</v>
      </c>
      <c r="AI110" s="48">
        <f t="shared" si="11"/>
        <v>0</v>
      </c>
    </row>
    <row r="111" spans="1:37" x14ac:dyDescent="0.25">
      <c r="A111" s="99" t="s">
        <v>119</v>
      </c>
      <c r="B111" s="112">
        <v>29</v>
      </c>
      <c r="C111" s="112">
        <v>27</v>
      </c>
      <c r="D111" s="112">
        <v>27</v>
      </c>
      <c r="E111" s="112">
        <v>17.2</v>
      </c>
      <c r="F111" s="112">
        <v>24.3</v>
      </c>
      <c r="G111" s="112">
        <v>20.3</v>
      </c>
      <c r="H111" s="112">
        <v>21.8</v>
      </c>
      <c r="I111" s="112">
        <v>23.5</v>
      </c>
      <c r="J111" s="112">
        <v>26</v>
      </c>
      <c r="K111" s="112">
        <v>31.6</v>
      </c>
      <c r="L111" s="112">
        <v>34.4</v>
      </c>
      <c r="M111" s="112">
        <v>41.3</v>
      </c>
      <c r="N111" s="112">
        <v>66.5</v>
      </c>
      <c r="O111" s="112">
        <v>55.5</v>
      </c>
      <c r="P111" s="112">
        <v>29</v>
      </c>
      <c r="Q111" s="112">
        <v>29.5</v>
      </c>
      <c r="R111" s="112">
        <v>29.7</v>
      </c>
      <c r="S111" s="112">
        <v>35.6</v>
      </c>
      <c r="T111" s="112">
        <v>35.6</v>
      </c>
      <c r="U111" s="112">
        <v>39.200000000000003</v>
      </c>
      <c r="V111" s="112">
        <v>53.4</v>
      </c>
      <c r="W111" s="112">
        <v>54.3</v>
      </c>
      <c r="X111" s="112">
        <v>75.099999999999994</v>
      </c>
      <c r="Y111" s="112">
        <v>71.900000000000006</v>
      </c>
      <c r="Z111" s="112">
        <v>75</v>
      </c>
      <c r="AA111" s="112">
        <v>77</v>
      </c>
      <c r="AB111" s="112"/>
      <c r="AC111" s="112">
        <v>45.3</v>
      </c>
      <c r="AD111" s="112">
        <v>41.9</v>
      </c>
      <c r="AE111" s="112">
        <v>60.5</v>
      </c>
      <c r="AF111" s="112">
        <v>15.3</v>
      </c>
      <c r="AG111" s="113">
        <v>75</v>
      </c>
      <c r="AH111" s="47">
        <f t="shared" si="10"/>
        <v>77</v>
      </c>
      <c r="AI111" s="48">
        <f t="shared" si="11"/>
        <v>15.3</v>
      </c>
    </row>
    <row r="112" spans="1:37" x14ac:dyDescent="0.25">
      <c r="A112" s="102" t="s">
        <v>120</v>
      </c>
      <c r="B112" s="114">
        <v>44</v>
      </c>
      <c r="C112" s="114">
        <v>43</v>
      </c>
      <c r="D112" s="114">
        <v>43</v>
      </c>
      <c r="E112" s="114">
        <v>32.1</v>
      </c>
      <c r="F112" s="114">
        <v>42.2</v>
      </c>
      <c r="G112" s="114">
        <v>36.700000000000003</v>
      </c>
      <c r="H112" s="114">
        <v>37.799999999999997</v>
      </c>
      <c r="I112" s="114">
        <v>38.299999999999997</v>
      </c>
      <c r="J112" s="114">
        <v>42.8</v>
      </c>
      <c r="K112" s="114">
        <v>45.8</v>
      </c>
      <c r="L112" s="114">
        <v>48.9</v>
      </c>
      <c r="M112" s="114">
        <v>58.6</v>
      </c>
      <c r="N112" s="114">
        <v>88.7</v>
      </c>
      <c r="O112" s="114">
        <v>72.400000000000006</v>
      </c>
      <c r="P112" s="114">
        <v>30.4</v>
      </c>
      <c r="Q112" s="114">
        <v>31.4</v>
      </c>
      <c r="R112" s="114">
        <v>31.9</v>
      </c>
      <c r="S112" s="114">
        <v>42</v>
      </c>
      <c r="T112" s="114">
        <v>42</v>
      </c>
      <c r="U112" s="114">
        <v>48.7</v>
      </c>
      <c r="V112" s="114">
        <v>70.7</v>
      </c>
      <c r="W112" s="114">
        <v>71.900000000000006</v>
      </c>
      <c r="X112" s="114">
        <v>105.3</v>
      </c>
      <c r="Y112" s="114">
        <v>101</v>
      </c>
      <c r="Z112" s="114">
        <v>105.9</v>
      </c>
      <c r="AA112" s="114">
        <v>110</v>
      </c>
      <c r="AB112" s="114"/>
      <c r="AC112" s="114">
        <v>65.3</v>
      </c>
      <c r="AD112" s="114">
        <v>58.6</v>
      </c>
      <c r="AE112" s="114">
        <v>41.5</v>
      </c>
      <c r="AF112" s="114">
        <v>35.4</v>
      </c>
      <c r="AG112" s="113">
        <v>240</v>
      </c>
      <c r="AH112" s="47">
        <f t="shared" si="10"/>
        <v>110</v>
      </c>
      <c r="AI112" s="48">
        <f t="shared" si="11"/>
        <v>30.4</v>
      </c>
    </row>
    <row r="113" spans="1:37" x14ac:dyDescent="0.25">
      <c r="A113" s="102" t="s">
        <v>121</v>
      </c>
      <c r="B113" s="114">
        <v>-145</v>
      </c>
      <c r="C113" s="114">
        <v>-154</v>
      </c>
      <c r="D113" s="114">
        <v>-154</v>
      </c>
      <c r="E113" s="114">
        <v>-148</v>
      </c>
      <c r="F113" s="114">
        <v>-145.80000000000001</v>
      </c>
      <c r="G113" s="114">
        <v>-146.69999999999999</v>
      </c>
      <c r="H113" s="114">
        <v>125</v>
      </c>
      <c r="I113" s="114">
        <v>-124.5</v>
      </c>
      <c r="J113" s="114">
        <v>-115.4</v>
      </c>
      <c r="K113" s="114">
        <v>-105.5</v>
      </c>
      <c r="L113" s="114">
        <v>-83.2</v>
      </c>
      <c r="M113" s="114">
        <v>-92</v>
      </c>
      <c r="N113" s="114">
        <v>-105</v>
      </c>
      <c r="O113" s="114">
        <v>-97</v>
      </c>
      <c r="P113" s="114">
        <f>-36.4-39.9</f>
        <v>-76.3</v>
      </c>
      <c r="Q113" s="114">
        <f>-49-51.9</f>
        <v>-100.9</v>
      </c>
      <c r="R113" s="114">
        <v>-97</v>
      </c>
      <c r="S113" s="114">
        <v>-108</v>
      </c>
      <c r="T113" s="114">
        <v>-108</v>
      </c>
      <c r="U113" s="114">
        <v>-106.5</v>
      </c>
      <c r="V113" s="114">
        <v>-122</v>
      </c>
      <c r="W113" s="114">
        <v>-114</v>
      </c>
      <c r="X113" s="114">
        <v>-118</v>
      </c>
      <c r="Y113" s="114">
        <v>-92</v>
      </c>
      <c r="Z113" s="114">
        <v>-104</v>
      </c>
      <c r="AA113" s="114">
        <v>-143</v>
      </c>
      <c r="AB113" s="114"/>
      <c r="AC113" s="114">
        <f>-64-69.8</f>
        <v>-133.80000000000001</v>
      </c>
      <c r="AD113" s="114">
        <f>-64-69</f>
        <v>-133</v>
      </c>
      <c r="AE113" s="114">
        <f>-74.3-78.1</f>
        <v>-152.39999999999998</v>
      </c>
      <c r="AF113" s="114">
        <f>-78-76.2</f>
        <v>-154.19999999999999</v>
      </c>
      <c r="AG113" s="113">
        <v>240</v>
      </c>
      <c r="AH113" s="47">
        <f t="shared" si="10"/>
        <v>125</v>
      </c>
      <c r="AI113" s="48">
        <f t="shared" si="11"/>
        <v>-154.19999999999999</v>
      </c>
    </row>
    <row r="114" spans="1:37" x14ac:dyDescent="0.25">
      <c r="A114" s="102" t="s">
        <v>122</v>
      </c>
      <c r="B114" s="114">
        <v>-13.5</v>
      </c>
      <c r="C114" s="114">
        <v>-13</v>
      </c>
      <c r="D114" s="114">
        <v>-13</v>
      </c>
      <c r="E114" s="114">
        <v>-11.9</v>
      </c>
      <c r="F114" s="114">
        <v>-11.5</v>
      </c>
      <c r="G114" s="114">
        <v>-14.6</v>
      </c>
      <c r="H114" s="114">
        <v>-10.1</v>
      </c>
      <c r="I114" s="114">
        <v>-9.1999999999999993</v>
      </c>
      <c r="J114" s="114">
        <v>-5.5</v>
      </c>
      <c r="K114" s="114">
        <v>0.8</v>
      </c>
      <c r="L114" s="114">
        <v>0</v>
      </c>
      <c r="M114" s="114">
        <v>5.6</v>
      </c>
      <c r="N114" s="114">
        <v>-14.2</v>
      </c>
      <c r="O114" s="114">
        <v>2</v>
      </c>
      <c r="P114" s="114">
        <v>0.8</v>
      </c>
      <c r="Q114" s="114">
        <v>-3.7</v>
      </c>
      <c r="R114" s="114">
        <v>1.7</v>
      </c>
      <c r="S114" s="114">
        <v>-1.6</v>
      </c>
      <c r="T114" s="114">
        <v>-1.6</v>
      </c>
      <c r="U114" s="114">
        <v>-0.8</v>
      </c>
      <c r="V114" s="114">
        <v>-2</v>
      </c>
      <c r="W114" s="114">
        <v>0</v>
      </c>
      <c r="X114" s="114">
        <v>1.8</v>
      </c>
      <c r="Y114" s="114">
        <v>22.7</v>
      </c>
      <c r="Z114" s="114">
        <v>3.5</v>
      </c>
      <c r="AA114" s="114">
        <v>-3</v>
      </c>
      <c r="AB114" s="114"/>
      <c r="AC114" s="114">
        <v>6.2</v>
      </c>
      <c r="AD114" s="114">
        <v>-1</v>
      </c>
      <c r="AE114" s="114">
        <v>-9.6999999999999993</v>
      </c>
      <c r="AF114" s="114">
        <v>-10.9</v>
      </c>
      <c r="AG114" s="113">
        <v>60</v>
      </c>
      <c r="AH114" s="47">
        <f t="shared" si="10"/>
        <v>22.7</v>
      </c>
      <c r="AI114" s="48">
        <f t="shared" si="11"/>
        <v>-14.6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/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0"/>
        <v>0</v>
      </c>
      <c r="AI115" s="48">
        <f t="shared" si="11"/>
        <v>0</v>
      </c>
    </row>
    <row r="116" spans="1:37" x14ac:dyDescent="0.25">
      <c r="A116" s="115" t="s">
        <v>124</v>
      </c>
      <c r="B116" s="116">
        <v>46</v>
      </c>
      <c r="C116" s="116">
        <v>54</v>
      </c>
      <c r="D116" s="116">
        <v>54</v>
      </c>
      <c r="E116" s="116">
        <v>39.799999999999997</v>
      </c>
      <c r="F116" s="116">
        <v>38.6</v>
      </c>
      <c r="G116" s="116">
        <v>9.8000000000000007</v>
      </c>
      <c r="H116" s="116">
        <v>32.5</v>
      </c>
      <c r="I116" s="116">
        <v>20.8</v>
      </c>
      <c r="J116" s="116">
        <v>20.7</v>
      </c>
      <c r="K116" s="116">
        <v>32.299999999999997</v>
      </c>
      <c r="L116" s="116">
        <v>51.7</v>
      </c>
      <c r="M116" s="116">
        <v>14.5</v>
      </c>
      <c r="N116" s="116">
        <v>15.5</v>
      </c>
      <c r="O116" s="116">
        <v>20.5</v>
      </c>
      <c r="P116" s="116">
        <v>-44.4</v>
      </c>
      <c r="Q116" s="116">
        <v>29.1</v>
      </c>
      <c r="R116" s="116">
        <v>-18.100000000000001</v>
      </c>
      <c r="S116" s="116">
        <v>-31.5</v>
      </c>
      <c r="T116" s="116">
        <v>-31.5</v>
      </c>
      <c r="U116" s="116">
        <v>21</v>
      </c>
      <c r="V116" s="116">
        <v>-37</v>
      </c>
      <c r="W116" s="116">
        <v>5</v>
      </c>
      <c r="X116" s="116">
        <v>41.8</v>
      </c>
      <c r="Y116" s="116">
        <v>25.7</v>
      </c>
      <c r="Z116" s="116">
        <v>38</v>
      </c>
      <c r="AA116" s="116">
        <v>-14</v>
      </c>
      <c r="AB116" s="116"/>
      <c r="AC116" s="116">
        <v>21</v>
      </c>
      <c r="AD116" s="116">
        <v>-31</v>
      </c>
      <c r="AE116" s="116">
        <v>-17.100000000000001</v>
      </c>
      <c r="AF116" s="116">
        <v>26.8</v>
      </c>
      <c r="AG116" s="117"/>
      <c r="AH116" s="47">
        <f t="shared" si="10"/>
        <v>54</v>
      </c>
      <c r="AI116" s="48">
        <f t="shared" si="11"/>
        <v>-44.4</v>
      </c>
    </row>
    <row r="117" spans="1:37" x14ac:dyDescent="0.25">
      <c r="A117" s="115" t="s">
        <v>125</v>
      </c>
      <c r="B117" s="116">
        <v>-15</v>
      </c>
      <c r="C117" s="116">
        <v>1</v>
      </c>
      <c r="D117" s="116">
        <v>1</v>
      </c>
      <c r="E117" s="116">
        <v>-18.399999999999999</v>
      </c>
      <c r="F117" s="116">
        <v>-38.200000000000003</v>
      </c>
      <c r="G117" s="116">
        <v>-25.1</v>
      </c>
      <c r="H117" s="116">
        <v>-27.3</v>
      </c>
      <c r="I117" s="116">
        <v>-27.3</v>
      </c>
      <c r="J117" s="116">
        <v>-42.1</v>
      </c>
      <c r="K117" s="116">
        <v>-34.1</v>
      </c>
      <c r="L117" s="116">
        <v>-45.8</v>
      </c>
      <c r="M117" s="116">
        <v>-39.299999999999997</v>
      </c>
      <c r="N117" s="116">
        <v>-62.2</v>
      </c>
      <c r="O117" s="116">
        <v>-63.7</v>
      </c>
      <c r="P117" s="116">
        <v>-64</v>
      </c>
      <c r="Q117" s="116">
        <v>-54.5</v>
      </c>
      <c r="R117" s="116">
        <v>-72.3</v>
      </c>
      <c r="S117" s="116">
        <v>-64</v>
      </c>
      <c r="T117" s="116">
        <v>-64</v>
      </c>
      <c r="U117" s="116">
        <v>-31</v>
      </c>
      <c r="V117" s="116">
        <v>-59</v>
      </c>
      <c r="W117" s="116">
        <v>-41</v>
      </c>
      <c r="X117" s="116">
        <v>-20.5</v>
      </c>
      <c r="Y117" s="116">
        <v>-49.2</v>
      </c>
      <c r="Z117" s="116">
        <v>-51.2</v>
      </c>
      <c r="AA117" s="116">
        <v>-59</v>
      </c>
      <c r="AB117" s="116"/>
      <c r="AC117" s="116">
        <v>-15.6</v>
      </c>
      <c r="AD117" s="116">
        <v>-1.1000000000000001</v>
      </c>
      <c r="AE117" s="116">
        <v>3.8</v>
      </c>
      <c r="AF117" s="116">
        <v>-9.6</v>
      </c>
      <c r="AG117" s="118"/>
      <c r="AH117" s="47">
        <f t="shared" si="10"/>
        <v>3.8</v>
      </c>
      <c r="AI117" s="48">
        <f t="shared" si="11"/>
        <v>-72.3</v>
      </c>
    </row>
    <row r="118" spans="1:37" x14ac:dyDescent="0.25">
      <c r="A118" s="119" t="s">
        <v>126</v>
      </c>
      <c r="B118" s="105">
        <v>74</v>
      </c>
      <c r="C118" s="105">
        <v>76</v>
      </c>
      <c r="D118" s="105">
        <v>76</v>
      </c>
      <c r="E118" s="105">
        <v>79.400000000000006</v>
      </c>
      <c r="F118" s="105">
        <v>80.400000000000006</v>
      </c>
      <c r="G118" s="105">
        <v>81.5</v>
      </c>
      <c r="H118" s="105">
        <v>81.900000000000006</v>
      </c>
      <c r="I118" s="105">
        <v>80.7</v>
      </c>
      <c r="J118" s="105">
        <v>78.8</v>
      </c>
      <c r="K118" s="105">
        <v>76.400000000000006</v>
      </c>
      <c r="L118" s="105">
        <v>74.7</v>
      </c>
      <c r="M118" s="105">
        <v>73.2</v>
      </c>
      <c r="N118" s="105">
        <v>80.099999999999994</v>
      </c>
      <c r="O118" s="105">
        <v>79</v>
      </c>
      <c r="P118" s="105">
        <v>81</v>
      </c>
      <c r="Q118" s="105">
        <v>81.2</v>
      </c>
      <c r="R118" s="105">
        <v>65.8</v>
      </c>
      <c r="S118" s="105">
        <v>67</v>
      </c>
      <c r="T118" s="105">
        <v>67</v>
      </c>
      <c r="U118" s="105">
        <v>72</v>
      </c>
      <c r="V118" s="105">
        <v>64.3</v>
      </c>
      <c r="W118" s="105">
        <v>64</v>
      </c>
      <c r="X118" s="105">
        <v>55.3</v>
      </c>
      <c r="Y118" s="105">
        <v>55.2</v>
      </c>
      <c r="Z118" s="105">
        <v>54</v>
      </c>
      <c r="AA118" s="105">
        <v>57</v>
      </c>
      <c r="AB118" s="105"/>
      <c r="AC118" s="105">
        <v>61.6</v>
      </c>
      <c r="AD118" s="105">
        <v>63.4</v>
      </c>
      <c r="AE118" s="105">
        <v>71.400000000000006</v>
      </c>
      <c r="AF118" s="105">
        <v>80.2</v>
      </c>
      <c r="AG118" s="118"/>
      <c r="AH118" s="47">
        <f t="shared" si="10"/>
        <v>81.900000000000006</v>
      </c>
      <c r="AI118" s="48">
        <f t="shared" si="11"/>
        <v>54</v>
      </c>
    </row>
    <row r="119" spans="1:37" x14ac:dyDescent="0.25">
      <c r="A119" s="120" t="s">
        <v>127</v>
      </c>
      <c r="B119" s="105">
        <v>78</v>
      </c>
      <c r="C119" s="105">
        <v>79</v>
      </c>
      <c r="D119" s="105">
        <v>79</v>
      </c>
      <c r="E119" s="105">
        <v>76.099999999999994</v>
      </c>
      <c r="F119" s="105">
        <v>81.599999999999994</v>
      </c>
      <c r="G119" s="105">
        <v>85</v>
      </c>
      <c r="H119" s="105">
        <v>72.7</v>
      </c>
      <c r="I119" s="105">
        <v>72.900000000000006</v>
      </c>
      <c r="J119" s="105">
        <v>68.900000000000006</v>
      </c>
      <c r="K119" s="105">
        <v>63.2</v>
      </c>
      <c r="L119" s="105">
        <v>52</v>
      </c>
      <c r="M119" s="105">
        <v>68.5</v>
      </c>
      <c r="N119" s="105">
        <v>68</v>
      </c>
      <c r="O119" s="105">
        <v>59</v>
      </c>
      <c r="P119" s="105">
        <v>50.1</v>
      </c>
      <c r="Q119" s="105">
        <v>58.8</v>
      </c>
      <c r="R119" s="105">
        <v>65.7</v>
      </c>
      <c r="S119" s="105">
        <v>73</v>
      </c>
      <c r="T119" s="105">
        <v>73</v>
      </c>
      <c r="U119" s="105">
        <v>53</v>
      </c>
      <c r="V119" s="105">
        <v>75.400000000000006</v>
      </c>
      <c r="W119" s="105">
        <v>61</v>
      </c>
      <c r="X119" s="105">
        <v>49.1</v>
      </c>
      <c r="Y119" s="105">
        <v>64.8</v>
      </c>
      <c r="Z119" s="105">
        <v>59.4</v>
      </c>
      <c r="AA119" s="105">
        <v>82</v>
      </c>
      <c r="AB119" s="105"/>
      <c r="AC119" s="105">
        <v>98.1</v>
      </c>
      <c r="AD119" s="105">
        <v>88.4</v>
      </c>
      <c r="AE119" s="105">
        <v>91.9</v>
      </c>
      <c r="AF119" s="105">
        <v>77</v>
      </c>
      <c r="AG119" s="118"/>
      <c r="AH119" s="47">
        <f t="shared" si="10"/>
        <v>98.1</v>
      </c>
      <c r="AI119" s="48">
        <f t="shared" si="11"/>
        <v>49.1</v>
      </c>
    </row>
    <row r="120" spans="1:37" ht="15.75" thickBot="1" x14ac:dyDescent="0.3">
      <c r="A120" s="119" t="s">
        <v>128</v>
      </c>
      <c r="B120" s="105">
        <v>-20</v>
      </c>
      <c r="C120" s="105">
        <v>-21</v>
      </c>
      <c r="D120" s="105">
        <v>-21</v>
      </c>
      <c r="E120" s="105">
        <v>-27.1</v>
      </c>
      <c r="F120" s="105">
        <v>-32.5</v>
      </c>
      <c r="G120" s="105">
        <v>-34.799999999999997</v>
      </c>
      <c r="H120" s="105">
        <v>-36.700000000000003</v>
      </c>
      <c r="I120" s="105">
        <v>-36.5</v>
      </c>
      <c r="J120" s="105">
        <v>-38.9</v>
      </c>
      <c r="K120" s="105">
        <v>-43.4</v>
      </c>
      <c r="L120" s="105">
        <v>-40.799999999999997</v>
      </c>
      <c r="M120" s="105">
        <v>-39.1</v>
      </c>
      <c r="N120" s="105">
        <v>-43.2</v>
      </c>
      <c r="O120" s="105">
        <v>-37.700000000000003</v>
      </c>
      <c r="P120" s="105">
        <v>-44.4</v>
      </c>
      <c r="Q120" s="105">
        <v>-47.9</v>
      </c>
      <c r="R120" s="105">
        <v>-38.799999999999997</v>
      </c>
      <c r="S120" s="105">
        <v>-39</v>
      </c>
      <c r="T120" s="105">
        <v>-39</v>
      </c>
      <c r="U120" s="105">
        <v>-42</v>
      </c>
      <c r="V120" s="105">
        <v>-37.299999999999997</v>
      </c>
      <c r="W120" s="105">
        <v>-34</v>
      </c>
      <c r="X120" s="105">
        <v>-15</v>
      </c>
      <c r="Y120" s="105">
        <v>-7</v>
      </c>
      <c r="Z120" s="105">
        <v>-6.3</v>
      </c>
      <c r="AA120" s="105">
        <v>-5.5</v>
      </c>
      <c r="AB120" s="105"/>
      <c r="AC120" s="105">
        <v>-11.5</v>
      </c>
      <c r="AD120" s="105">
        <v>-12.4</v>
      </c>
      <c r="AE120" s="105">
        <v>-19.8</v>
      </c>
      <c r="AF120" s="105">
        <v>-26.4</v>
      </c>
      <c r="AG120" s="118"/>
      <c r="AH120" s="47">
        <f t="shared" si="10"/>
        <v>-5.5</v>
      </c>
      <c r="AI120" s="48">
        <f t="shared" si="11"/>
        <v>-47.9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26">SUM(B122:B226)</f>
        <v>0</v>
      </c>
      <c r="C227" s="136">
        <f t="shared" si="26"/>
        <v>0</v>
      </c>
      <c r="D227" s="136">
        <f t="shared" si="26"/>
        <v>0</v>
      </c>
      <c r="E227" s="136">
        <f t="shared" si="26"/>
        <v>0</v>
      </c>
      <c r="F227" s="136">
        <f t="shared" si="26"/>
        <v>0</v>
      </c>
      <c r="G227" s="136">
        <f t="shared" si="26"/>
        <v>0</v>
      </c>
      <c r="H227" s="136">
        <f t="shared" si="26"/>
        <v>0</v>
      </c>
      <c r="I227" s="136">
        <f t="shared" si="26"/>
        <v>0</v>
      </c>
      <c r="J227" s="136">
        <f t="shared" si="26"/>
        <v>0</v>
      </c>
      <c r="K227" s="136">
        <f t="shared" si="26"/>
        <v>0</v>
      </c>
      <c r="L227" s="136">
        <f t="shared" si="26"/>
        <v>0</v>
      </c>
      <c r="M227" s="136">
        <f t="shared" si="26"/>
        <v>0</v>
      </c>
      <c r="N227" s="136">
        <f t="shared" si="26"/>
        <v>0</v>
      </c>
      <c r="O227" s="136">
        <f t="shared" si="26"/>
        <v>0</v>
      </c>
      <c r="P227" s="136">
        <f t="shared" si="26"/>
        <v>0</v>
      </c>
      <c r="Q227" s="136">
        <f t="shared" si="26"/>
        <v>0</v>
      </c>
      <c r="R227" s="136">
        <f t="shared" si="26"/>
        <v>0</v>
      </c>
      <c r="S227" s="136">
        <f t="shared" si="26"/>
        <v>0</v>
      </c>
      <c r="T227" s="136">
        <f t="shared" si="26"/>
        <v>0</v>
      </c>
      <c r="U227" s="136">
        <f t="shared" si="26"/>
        <v>0</v>
      </c>
      <c r="V227" s="136">
        <f t="shared" si="26"/>
        <v>0</v>
      </c>
      <c r="W227" s="136">
        <f t="shared" si="26"/>
        <v>0</v>
      </c>
      <c r="X227" s="136">
        <f t="shared" si="26"/>
        <v>0</v>
      </c>
      <c r="Y227" s="136">
        <f t="shared" si="26"/>
        <v>0</v>
      </c>
      <c r="Z227" s="136">
        <f t="shared" si="26"/>
        <v>0</v>
      </c>
      <c r="AA227" s="136">
        <f t="shared" si="26"/>
        <v>0</v>
      </c>
      <c r="AB227" s="136">
        <f t="shared" si="26"/>
        <v>0</v>
      </c>
      <c r="AC227" s="136">
        <f t="shared" si="26"/>
        <v>0</v>
      </c>
      <c r="AD227" s="136">
        <f t="shared" si="26"/>
        <v>0</v>
      </c>
      <c r="AE227" s="136">
        <f t="shared" si="26"/>
        <v>0</v>
      </c>
      <c r="AF227" s="137">
        <f t="shared" si="26"/>
        <v>0</v>
      </c>
      <c r="AG227" s="138">
        <f t="shared" si="26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7">AF229</f>
        <v>0</v>
      </c>
      <c r="C229" s="140">
        <v>0.3</v>
      </c>
      <c r="D229" s="140">
        <f t="shared" ref="D229:P234" si="28">C229</f>
        <v>0.3</v>
      </c>
      <c r="E229" s="140">
        <f t="shared" si="28"/>
        <v>0.3</v>
      </c>
      <c r="F229" s="140">
        <f t="shared" si="28"/>
        <v>0.3</v>
      </c>
      <c r="G229" s="140">
        <f t="shared" si="28"/>
        <v>0.3</v>
      </c>
      <c r="H229" s="140">
        <f t="shared" si="28"/>
        <v>0.3</v>
      </c>
      <c r="I229" s="140">
        <f t="shared" si="28"/>
        <v>0.3</v>
      </c>
      <c r="J229" s="140">
        <f t="shared" si="28"/>
        <v>0.3</v>
      </c>
      <c r="K229" s="140">
        <f t="shared" si="28"/>
        <v>0.3</v>
      </c>
      <c r="L229" s="140">
        <f t="shared" si="28"/>
        <v>0.3</v>
      </c>
      <c r="M229" s="140">
        <f t="shared" si="28"/>
        <v>0.3</v>
      </c>
      <c r="N229" s="140">
        <f t="shared" si="28"/>
        <v>0.3</v>
      </c>
      <c r="O229" s="140">
        <f t="shared" si="28"/>
        <v>0.3</v>
      </c>
      <c r="P229" s="140">
        <f t="shared" si="28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7"/>
        <v>0</v>
      </c>
      <c r="C230" s="128">
        <v>0.4</v>
      </c>
      <c r="D230" s="128">
        <f t="shared" si="28"/>
        <v>0.4</v>
      </c>
      <c r="E230" s="128">
        <f t="shared" si="28"/>
        <v>0.4</v>
      </c>
      <c r="F230" s="128">
        <f t="shared" si="28"/>
        <v>0.4</v>
      </c>
      <c r="G230" s="128">
        <f t="shared" si="28"/>
        <v>0.4</v>
      </c>
      <c r="H230" s="128">
        <f t="shared" si="28"/>
        <v>0.4</v>
      </c>
      <c r="I230" s="128">
        <f t="shared" si="28"/>
        <v>0.4</v>
      </c>
      <c r="J230" s="128">
        <f t="shared" si="28"/>
        <v>0.4</v>
      </c>
      <c r="K230" s="128">
        <f t="shared" si="28"/>
        <v>0.4</v>
      </c>
      <c r="L230" s="128">
        <f t="shared" si="28"/>
        <v>0.4</v>
      </c>
      <c r="M230" s="128">
        <f t="shared" si="28"/>
        <v>0.4</v>
      </c>
      <c r="N230" s="128">
        <f t="shared" si="28"/>
        <v>0.4</v>
      </c>
      <c r="O230" s="128">
        <f t="shared" si="28"/>
        <v>0.4</v>
      </c>
      <c r="P230" s="128">
        <f t="shared" si="28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7"/>
        <v>0</v>
      </c>
      <c r="C231" s="128">
        <v>1.5</v>
      </c>
      <c r="D231" s="128">
        <f t="shared" si="28"/>
        <v>1.5</v>
      </c>
      <c r="E231" s="128">
        <f t="shared" si="28"/>
        <v>1.5</v>
      </c>
      <c r="F231" s="128">
        <f t="shared" si="28"/>
        <v>1.5</v>
      </c>
      <c r="G231" s="128">
        <f t="shared" si="28"/>
        <v>1.5</v>
      </c>
      <c r="H231" s="128">
        <f t="shared" si="28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8"/>
        <v>123.21900000000009</v>
      </c>
      <c r="K231" s="128">
        <f t="shared" ca="1" si="28"/>
        <v>123.21900000000009</v>
      </c>
      <c r="L231" s="128">
        <f t="shared" ca="1" si="28"/>
        <v>123.21900000000009</v>
      </c>
      <c r="M231" s="128">
        <f t="shared" ca="1" si="28"/>
        <v>119.19900000000008</v>
      </c>
      <c r="N231" s="128">
        <f t="shared" ca="1" si="28"/>
        <v>119.19900000000008</v>
      </c>
      <c r="O231" s="128">
        <f t="shared" ca="1" si="28"/>
        <v>119.19900000000008</v>
      </c>
      <c r="P231" s="128">
        <f t="shared" ca="1" si="28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7"/>
        <v>0</v>
      </c>
      <c r="C232" s="128">
        <v>0.3</v>
      </c>
      <c r="D232" s="128">
        <f t="shared" si="28"/>
        <v>0.3</v>
      </c>
      <c r="E232" s="128">
        <f t="shared" si="28"/>
        <v>0.3</v>
      </c>
      <c r="F232" s="128">
        <f t="shared" si="28"/>
        <v>0.3</v>
      </c>
      <c r="G232" s="128">
        <f t="shared" si="28"/>
        <v>0.3</v>
      </c>
      <c r="H232" s="128">
        <f t="shared" si="28"/>
        <v>0.3</v>
      </c>
      <c r="I232" s="128">
        <f t="shared" si="28"/>
        <v>0.3</v>
      </c>
      <c r="J232" s="128">
        <f t="shared" si="28"/>
        <v>0.3</v>
      </c>
      <c r="K232" s="128">
        <f t="shared" si="28"/>
        <v>0.3</v>
      </c>
      <c r="L232" s="128">
        <f t="shared" si="28"/>
        <v>0.3</v>
      </c>
      <c r="M232" s="128">
        <f t="shared" si="28"/>
        <v>0.3</v>
      </c>
      <c r="N232" s="128">
        <f t="shared" si="28"/>
        <v>0.3</v>
      </c>
      <c r="O232" s="128">
        <f t="shared" si="28"/>
        <v>0.3</v>
      </c>
      <c r="P232" s="128">
        <f t="shared" si="28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7"/>
        <v>0</v>
      </c>
      <c r="C233" s="128">
        <v>0.4</v>
      </c>
      <c r="D233" s="128">
        <f t="shared" si="28"/>
        <v>0.4</v>
      </c>
      <c r="E233" s="128">
        <f t="shared" si="28"/>
        <v>0.4</v>
      </c>
      <c r="F233" s="128">
        <f t="shared" si="28"/>
        <v>0.4</v>
      </c>
      <c r="G233" s="128">
        <f t="shared" si="28"/>
        <v>0.4</v>
      </c>
      <c r="H233" s="128">
        <f t="shared" si="28"/>
        <v>0.4</v>
      </c>
      <c r="I233" s="128">
        <f t="shared" si="28"/>
        <v>0.4</v>
      </c>
      <c r="J233" s="128">
        <f t="shared" si="28"/>
        <v>0.4</v>
      </c>
      <c r="K233" s="128">
        <f t="shared" si="28"/>
        <v>0.4</v>
      </c>
      <c r="L233" s="128">
        <f t="shared" si="28"/>
        <v>0.4</v>
      </c>
      <c r="M233" s="128">
        <f t="shared" si="28"/>
        <v>0.4</v>
      </c>
      <c r="N233" s="128">
        <f t="shared" si="28"/>
        <v>0.4</v>
      </c>
      <c r="O233" s="128">
        <f t="shared" si="28"/>
        <v>0.4</v>
      </c>
      <c r="P233" s="128">
        <f t="shared" si="28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7"/>
        <v>0</v>
      </c>
      <c r="C234" s="132">
        <v>0.64</v>
      </c>
      <c r="D234" s="132">
        <f t="shared" si="28"/>
        <v>0.64</v>
      </c>
      <c r="E234" s="132">
        <f t="shared" si="28"/>
        <v>0.64</v>
      </c>
      <c r="F234" s="132">
        <f t="shared" si="28"/>
        <v>0.64</v>
      </c>
      <c r="G234" s="132">
        <f t="shared" si="28"/>
        <v>0.64</v>
      </c>
      <c r="H234" s="132">
        <f t="shared" si="28"/>
        <v>0.64</v>
      </c>
      <c r="I234" s="132">
        <f t="shared" si="28"/>
        <v>0.64</v>
      </c>
      <c r="J234" s="132">
        <f t="shared" si="28"/>
        <v>0.64</v>
      </c>
      <c r="K234" s="132">
        <f t="shared" si="28"/>
        <v>0.64</v>
      </c>
      <c r="L234" s="132">
        <f t="shared" si="28"/>
        <v>0.64</v>
      </c>
      <c r="M234" s="132">
        <f t="shared" si="28"/>
        <v>0.64</v>
      </c>
      <c r="N234" s="132">
        <f t="shared" si="28"/>
        <v>0.64</v>
      </c>
      <c r="O234" s="132">
        <f t="shared" si="28"/>
        <v>0.64</v>
      </c>
      <c r="P234" s="132">
        <f t="shared" si="28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9">SUM(B229:B234)</f>
        <v>0</v>
      </c>
      <c r="C235" s="136">
        <f t="shared" si="29"/>
        <v>3.54</v>
      </c>
      <c r="D235" s="136">
        <f t="shared" si="29"/>
        <v>3.54</v>
      </c>
      <c r="E235" s="136">
        <f t="shared" si="29"/>
        <v>3.54</v>
      </c>
      <c r="F235" s="136">
        <f t="shared" si="29"/>
        <v>3.54</v>
      </c>
      <c r="G235" s="136">
        <f t="shared" si="29"/>
        <v>3.54</v>
      </c>
      <c r="H235" s="136">
        <f t="shared" si="29"/>
        <v>3.54</v>
      </c>
      <c r="I235" s="136">
        <f t="shared" ca="1" si="29"/>
        <v>121.23900000000009</v>
      </c>
      <c r="J235" s="136">
        <f t="shared" ca="1" si="29"/>
        <v>121.23900000000009</v>
      </c>
      <c r="K235" s="136">
        <f t="shared" ca="1" si="29"/>
        <v>121.23900000000009</v>
      </c>
      <c r="L235" s="136">
        <f t="shared" ca="1" si="29"/>
        <v>125.2590000000001</v>
      </c>
      <c r="M235" s="136">
        <f t="shared" ca="1" si="29"/>
        <v>121.23900000000009</v>
      </c>
      <c r="N235" s="136">
        <f t="shared" ca="1" si="29"/>
        <v>121.23900000000009</v>
      </c>
      <c r="O235" s="136">
        <f t="shared" ca="1" si="29"/>
        <v>121.23900000000009</v>
      </c>
      <c r="P235" s="136">
        <f t="shared" ca="1" si="29"/>
        <v>121.23900000000009</v>
      </c>
      <c r="Q235" s="136">
        <f t="shared" si="29"/>
        <v>0</v>
      </c>
      <c r="R235" s="136">
        <f t="shared" si="29"/>
        <v>0</v>
      </c>
      <c r="S235" s="136">
        <f t="shared" si="29"/>
        <v>0</v>
      </c>
      <c r="T235" s="136">
        <f t="shared" si="29"/>
        <v>0</v>
      </c>
      <c r="U235" s="136">
        <f t="shared" si="29"/>
        <v>0</v>
      </c>
      <c r="V235" s="136">
        <f t="shared" si="29"/>
        <v>0</v>
      </c>
      <c r="W235" s="136">
        <f t="shared" si="29"/>
        <v>0</v>
      </c>
      <c r="X235" s="136">
        <f t="shared" si="29"/>
        <v>0</v>
      </c>
      <c r="Y235" s="136">
        <f t="shared" si="29"/>
        <v>0</v>
      </c>
      <c r="Z235" s="136">
        <f t="shared" si="29"/>
        <v>0</v>
      </c>
      <c r="AA235" s="136">
        <f t="shared" si="29"/>
        <v>0</v>
      </c>
      <c r="AB235" s="136">
        <f t="shared" si="29"/>
        <v>0</v>
      </c>
      <c r="AC235" s="136">
        <f t="shared" si="29"/>
        <v>0</v>
      </c>
      <c r="AD235" s="136">
        <f t="shared" si="29"/>
        <v>0</v>
      </c>
      <c r="AE235" s="136">
        <f t="shared" si="29"/>
        <v>0</v>
      </c>
      <c r="AF235" s="136">
        <f t="shared" si="29"/>
        <v>0</v>
      </c>
      <c r="AG235" s="145">
        <f t="shared" si="29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2116.34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20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2080/06/20)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2080/06/20)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30">B91</f>
        <v>2042.04</v>
      </c>
      <c r="U249" s="170">
        <f t="shared" si="30"/>
        <v>2034.3400000000001</v>
      </c>
      <c r="V249" s="170">
        <f t="shared" si="30"/>
        <v>2018.9399999999998</v>
      </c>
      <c r="W249" s="170">
        <f t="shared" si="30"/>
        <v>2004.19</v>
      </c>
      <c r="X249" s="170">
        <f t="shared" si="30"/>
        <v>1994.19</v>
      </c>
      <c r="Y249" s="170">
        <f t="shared" si="30"/>
        <v>2016.29</v>
      </c>
      <c r="Z249" s="170">
        <f t="shared" si="30"/>
        <v>2006.29</v>
      </c>
      <c r="AA249" s="170">
        <f t="shared" si="30"/>
        <v>2029.79</v>
      </c>
      <c r="AB249" s="170">
        <f t="shared" si="30"/>
        <v>2032.79</v>
      </c>
      <c r="AC249" s="170">
        <f t="shared" si="30"/>
        <v>2043.9900000000002</v>
      </c>
      <c r="AD249" s="170">
        <f t="shared" si="30"/>
        <v>2046.7900000000002</v>
      </c>
      <c r="AE249" s="170">
        <f t="shared" si="30"/>
        <v>2057.29</v>
      </c>
      <c r="AF249" s="170">
        <f t="shared" si="30"/>
        <v>2116.34</v>
      </c>
      <c r="AG249" s="170">
        <f t="shared" si="30"/>
        <v>2107.54</v>
      </c>
      <c r="AH249" s="170">
        <f t="shared" si="30"/>
        <v>2057.14</v>
      </c>
      <c r="AI249" s="170">
        <f t="shared" si="30"/>
        <v>2063.3399999999997</v>
      </c>
      <c r="AJ249" s="170">
        <f t="shared" si="30"/>
        <v>2060.44</v>
      </c>
      <c r="AK249" s="170">
        <f t="shared" si="30"/>
        <v>2031.44</v>
      </c>
      <c r="AL249" s="170">
        <f t="shared" si="30"/>
        <v>2035.44</v>
      </c>
      <c r="AM249" s="170">
        <f t="shared" si="30"/>
        <v>2028.2400000000002</v>
      </c>
      <c r="AN249" s="170">
        <f t="shared" si="30"/>
        <v>2067.84</v>
      </c>
      <c r="AO249" s="170">
        <f t="shared" si="30"/>
        <v>2075.94</v>
      </c>
      <c r="AP249" s="170">
        <f t="shared" si="30"/>
        <v>2151.34</v>
      </c>
      <c r="AQ249" s="170">
        <f t="shared" si="30"/>
        <v>2196.44</v>
      </c>
      <c r="AR249" s="170">
        <f t="shared" si="30"/>
        <v>2148.94</v>
      </c>
      <c r="AS249" s="170">
        <f t="shared" si="30"/>
        <v>2164.54</v>
      </c>
      <c r="AT249" s="170">
        <f t="shared" si="30"/>
        <v>3.54</v>
      </c>
      <c r="AU249" s="170">
        <f t="shared" si="30"/>
        <v>2181.1400000000003</v>
      </c>
      <c r="AV249" s="170">
        <f t="shared" si="30"/>
        <v>2127.64</v>
      </c>
      <c r="AW249" s="170">
        <f t="shared" si="30"/>
        <v>2077.44</v>
      </c>
      <c r="AX249" s="170">
        <f t="shared" si="30"/>
        <v>2045.3400000000001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31">C234</f>
        <v>0.64</v>
      </c>
      <c r="C270" s="173">
        <f t="shared" si="31"/>
        <v>0.64</v>
      </c>
      <c r="D270" s="173">
        <f t="shared" si="31"/>
        <v>0.64</v>
      </c>
      <c r="E270" s="173">
        <f t="shared" si="31"/>
        <v>0.64</v>
      </c>
      <c r="F270" s="173">
        <f t="shared" si="31"/>
        <v>0.64</v>
      </c>
      <c r="G270" s="173">
        <f t="shared" si="31"/>
        <v>0.64</v>
      </c>
      <c r="H270" s="173">
        <f t="shared" si="31"/>
        <v>0.64</v>
      </c>
      <c r="I270" s="173">
        <f t="shared" si="31"/>
        <v>0.64</v>
      </c>
      <c r="J270" s="173">
        <f t="shared" si="31"/>
        <v>0.64</v>
      </c>
      <c r="K270" s="173">
        <f t="shared" si="31"/>
        <v>0.64</v>
      </c>
      <c r="L270" s="173">
        <f t="shared" si="31"/>
        <v>0.64</v>
      </c>
      <c r="M270" s="173">
        <f t="shared" si="31"/>
        <v>0.64</v>
      </c>
      <c r="N270" s="173">
        <f t="shared" si="31"/>
        <v>0.64</v>
      </c>
      <c r="O270" s="173">
        <f t="shared" si="31"/>
        <v>0.64</v>
      </c>
      <c r="P270" s="173">
        <f t="shared" si="31"/>
        <v>0</v>
      </c>
      <c r="Q270" s="173">
        <f t="shared" si="31"/>
        <v>0</v>
      </c>
      <c r="R270" s="173">
        <f t="shared" si="31"/>
        <v>0</v>
      </c>
      <c r="S270" s="173">
        <f t="shared" si="31"/>
        <v>0</v>
      </c>
      <c r="T270" s="173">
        <f t="shared" si="31"/>
        <v>0</v>
      </c>
      <c r="U270" s="173">
        <f t="shared" si="31"/>
        <v>0</v>
      </c>
      <c r="V270" s="173">
        <f t="shared" si="31"/>
        <v>0</v>
      </c>
      <c r="W270" s="173">
        <f t="shared" si="31"/>
        <v>0</v>
      </c>
      <c r="X270" s="173">
        <f t="shared" si="31"/>
        <v>0</v>
      </c>
      <c r="Y270" s="173">
        <f t="shared" si="31"/>
        <v>0</v>
      </c>
      <c r="Z270" s="173">
        <f t="shared" si="31"/>
        <v>0</v>
      </c>
      <c r="AA270" s="173">
        <f t="shared" si="31"/>
        <v>0</v>
      </c>
      <c r="AB270" s="173">
        <f t="shared" si="31"/>
        <v>0</v>
      </c>
      <c r="AC270" s="173">
        <f t="shared" si="31"/>
        <v>0</v>
      </c>
      <c r="AD270" s="173">
        <f t="shared" si="31"/>
        <v>0</v>
      </c>
      <c r="AE270" s="173">
        <f t="shared" si="31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32">IF(B238&lt;100,"",B238-520)</f>
        <v/>
      </c>
      <c r="C271" s="174" t="str">
        <f t="shared" si="32"/>
        <v/>
      </c>
      <c r="D271" s="174" t="str">
        <f t="shared" si="32"/>
        <v/>
      </c>
      <c r="E271" s="174" t="str">
        <f t="shared" si="32"/>
        <v/>
      </c>
      <c r="F271" s="174" t="str">
        <f t="shared" si="32"/>
        <v/>
      </c>
      <c r="G271" s="174" t="str">
        <f t="shared" si="32"/>
        <v/>
      </c>
      <c r="H271" s="174" t="str">
        <f t="shared" si="32"/>
        <v/>
      </c>
      <c r="I271" s="174" t="str">
        <f t="shared" si="32"/>
        <v/>
      </c>
      <c r="J271" s="174" t="str">
        <f t="shared" si="32"/>
        <v/>
      </c>
      <c r="K271" s="174" t="str">
        <f t="shared" si="32"/>
        <v/>
      </c>
      <c r="L271" s="174" t="str">
        <f t="shared" si="32"/>
        <v/>
      </c>
      <c r="M271" s="174" t="str">
        <f t="shared" si="32"/>
        <v/>
      </c>
      <c r="N271" s="174" t="str">
        <f t="shared" si="32"/>
        <v/>
      </c>
      <c r="O271" s="174" t="str">
        <f t="shared" si="32"/>
        <v/>
      </c>
      <c r="P271" s="174" t="str">
        <f t="shared" si="32"/>
        <v/>
      </c>
      <c r="Q271" s="174" t="str">
        <f t="shared" si="32"/>
        <v/>
      </c>
      <c r="R271" s="174" t="str">
        <f t="shared" si="32"/>
        <v/>
      </c>
      <c r="S271" s="174" t="str">
        <f t="shared" si="32"/>
        <v/>
      </c>
      <c r="T271" s="174" t="str">
        <f t="shared" si="32"/>
        <v/>
      </c>
      <c r="U271" s="174" t="str">
        <f t="shared" si="32"/>
        <v/>
      </c>
      <c r="V271" s="174" t="str">
        <f t="shared" si="32"/>
        <v/>
      </c>
      <c r="W271" s="174" t="str">
        <f t="shared" si="32"/>
        <v/>
      </c>
      <c r="X271" s="174" t="str">
        <f t="shared" si="32"/>
        <v/>
      </c>
      <c r="Y271" s="174" t="str">
        <f t="shared" si="32"/>
        <v/>
      </c>
      <c r="Z271" s="174" t="str">
        <f t="shared" si="32"/>
        <v/>
      </c>
      <c r="AA271" s="174" t="str">
        <f t="shared" si="32"/>
        <v/>
      </c>
      <c r="AB271" s="174" t="str">
        <f t="shared" si="32"/>
        <v/>
      </c>
      <c r="AC271" s="174" t="str">
        <f t="shared" si="32"/>
        <v/>
      </c>
      <c r="AD271" s="174" t="str">
        <f t="shared" si="32"/>
        <v/>
      </c>
      <c r="AE271" s="174" t="str">
        <f t="shared" si="32"/>
        <v/>
      </c>
      <c r="AF271" s="174" t="str">
        <f t="shared" si="32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33">IF(B239&lt;100,"",B239-620)</f>
        <v/>
      </c>
      <c r="C272" s="174" t="str">
        <f t="shared" si="33"/>
        <v/>
      </c>
      <c r="D272" s="174" t="str">
        <f t="shared" si="33"/>
        <v/>
      </c>
      <c r="E272" s="174" t="str">
        <f t="shared" si="33"/>
        <v/>
      </c>
      <c r="F272" s="174" t="str">
        <f t="shared" si="33"/>
        <v/>
      </c>
      <c r="G272" s="174" t="str">
        <f t="shared" si="33"/>
        <v/>
      </c>
      <c r="H272" s="174" t="str">
        <f t="shared" si="33"/>
        <v/>
      </c>
      <c r="I272" s="174" t="str">
        <f t="shared" si="33"/>
        <v/>
      </c>
      <c r="J272" s="174" t="str">
        <f t="shared" si="33"/>
        <v/>
      </c>
      <c r="K272" s="174" t="str">
        <f t="shared" si="33"/>
        <v/>
      </c>
      <c r="L272" s="174" t="str">
        <f t="shared" si="33"/>
        <v/>
      </c>
      <c r="M272" s="174" t="str">
        <f t="shared" si="33"/>
        <v/>
      </c>
      <c r="N272" s="174" t="str">
        <f t="shared" si="33"/>
        <v/>
      </c>
      <c r="O272" s="174" t="str">
        <f t="shared" si="33"/>
        <v/>
      </c>
      <c r="P272" s="174" t="str">
        <f t="shared" si="33"/>
        <v/>
      </c>
      <c r="Q272" s="174" t="str">
        <f t="shared" si="33"/>
        <v/>
      </c>
      <c r="R272" s="174" t="str">
        <f t="shared" si="33"/>
        <v/>
      </c>
      <c r="S272" s="174" t="str">
        <f t="shared" si="33"/>
        <v/>
      </c>
      <c r="T272" s="174" t="str">
        <f t="shared" si="33"/>
        <v/>
      </c>
      <c r="U272" s="174" t="str">
        <f t="shared" si="33"/>
        <v/>
      </c>
      <c r="V272" s="174" t="str">
        <f t="shared" si="33"/>
        <v/>
      </c>
      <c r="W272" s="174" t="str">
        <f t="shared" si="33"/>
        <v/>
      </c>
      <c r="X272" s="174" t="str">
        <f t="shared" si="33"/>
        <v/>
      </c>
      <c r="Y272" s="174" t="str">
        <f t="shared" si="33"/>
        <v/>
      </c>
      <c r="Z272" s="174" t="str">
        <f t="shared" si="33"/>
        <v/>
      </c>
      <c r="AA272" s="174" t="str">
        <f t="shared" si="33"/>
        <v/>
      </c>
      <c r="AB272" s="174" t="str">
        <f t="shared" si="33"/>
        <v/>
      </c>
      <c r="AC272" s="174" t="str">
        <f t="shared" si="33"/>
        <v/>
      </c>
      <c r="AD272" s="174" t="str">
        <f t="shared" si="33"/>
        <v/>
      </c>
      <c r="AE272" s="174" t="str">
        <f t="shared" si="33"/>
        <v/>
      </c>
      <c r="AF272" s="174" t="str">
        <f t="shared" si="33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34">IF(B240&lt;100,"",B240-330)</f>
        <v/>
      </c>
      <c r="C273" s="174" t="str">
        <f t="shared" si="34"/>
        <v/>
      </c>
      <c r="D273" s="174" t="str">
        <f t="shared" si="34"/>
        <v/>
      </c>
      <c r="E273" s="174" t="str">
        <f t="shared" si="34"/>
        <v/>
      </c>
      <c r="F273" s="174" t="str">
        <f t="shared" si="34"/>
        <v/>
      </c>
      <c r="G273" s="174" t="str">
        <f t="shared" si="34"/>
        <v/>
      </c>
      <c r="H273" s="174" t="str">
        <f t="shared" si="34"/>
        <v/>
      </c>
      <c r="I273" s="174" t="str">
        <f t="shared" si="34"/>
        <v/>
      </c>
      <c r="J273" s="174" t="str">
        <f t="shared" si="34"/>
        <v/>
      </c>
      <c r="K273" s="174" t="str">
        <f t="shared" si="34"/>
        <v/>
      </c>
      <c r="L273" s="174" t="str">
        <f t="shared" si="34"/>
        <v/>
      </c>
      <c r="M273" s="174" t="str">
        <f t="shared" si="34"/>
        <v/>
      </c>
      <c r="N273" s="174" t="str">
        <f t="shared" si="34"/>
        <v/>
      </c>
      <c r="O273" s="174" t="str">
        <f t="shared" si="34"/>
        <v/>
      </c>
      <c r="P273" s="174" t="str">
        <f t="shared" si="34"/>
        <v/>
      </c>
      <c r="Q273" s="174" t="str">
        <f t="shared" si="34"/>
        <v/>
      </c>
      <c r="R273" s="174" t="str">
        <f t="shared" si="34"/>
        <v/>
      </c>
      <c r="S273" s="174" t="str">
        <f t="shared" si="34"/>
        <v/>
      </c>
      <c r="T273" s="174" t="str">
        <f t="shared" si="34"/>
        <v/>
      </c>
      <c r="U273" s="174" t="str">
        <f t="shared" si="34"/>
        <v/>
      </c>
      <c r="V273" s="174" t="str">
        <f t="shared" si="34"/>
        <v/>
      </c>
      <c r="W273" s="174" t="str">
        <f t="shared" si="34"/>
        <v/>
      </c>
      <c r="X273" s="174" t="str">
        <f t="shared" si="34"/>
        <v/>
      </c>
      <c r="Y273" s="174" t="str">
        <f t="shared" si="34"/>
        <v/>
      </c>
      <c r="Z273" s="174" t="str">
        <f t="shared" si="34"/>
        <v/>
      </c>
      <c r="AA273" s="174" t="str">
        <f t="shared" si="34"/>
        <v/>
      </c>
      <c r="AB273" s="174" t="str">
        <f t="shared" si="34"/>
        <v/>
      </c>
      <c r="AC273" s="174" t="str">
        <f t="shared" si="34"/>
        <v/>
      </c>
      <c r="AD273" s="174" t="str">
        <f t="shared" si="34"/>
        <v/>
      </c>
      <c r="AE273" s="174" t="str">
        <f t="shared" si="34"/>
        <v/>
      </c>
      <c r="AF273" s="174" t="str">
        <f t="shared" si="34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35">IF(B241&lt;100,"",B241-1500)</f>
        <v/>
      </c>
      <c r="C274" s="174" t="str">
        <f t="shared" si="35"/>
        <v/>
      </c>
      <c r="D274" s="174" t="str">
        <f t="shared" si="35"/>
        <v/>
      </c>
      <c r="E274" s="174" t="str">
        <f t="shared" si="35"/>
        <v/>
      </c>
      <c r="F274" s="174" t="str">
        <f t="shared" si="35"/>
        <v/>
      </c>
      <c r="G274" s="174" t="str">
        <f t="shared" si="35"/>
        <v/>
      </c>
      <c r="H274" s="174" t="str">
        <f t="shared" si="35"/>
        <v/>
      </c>
      <c r="I274" s="174" t="str">
        <f t="shared" si="35"/>
        <v/>
      </c>
      <c r="J274" s="174" t="str">
        <f t="shared" si="35"/>
        <v/>
      </c>
      <c r="K274" s="174" t="str">
        <f t="shared" si="35"/>
        <v/>
      </c>
      <c r="L274" s="174" t="str">
        <f t="shared" si="35"/>
        <v/>
      </c>
      <c r="M274" s="174" t="str">
        <f t="shared" si="35"/>
        <v/>
      </c>
      <c r="N274" s="174" t="str">
        <f t="shared" si="35"/>
        <v/>
      </c>
      <c r="O274" s="174" t="str">
        <f t="shared" si="35"/>
        <v/>
      </c>
      <c r="P274" s="174" t="str">
        <f t="shared" si="35"/>
        <v/>
      </c>
      <c r="Q274" s="174" t="str">
        <f t="shared" si="35"/>
        <v/>
      </c>
      <c r="R274" s="174" t="str">
        <f t="shared" si="35"/>
        <v/>
      </c>
      <c r="S274" s="174" t="str">
        <f t="shared" si="35"/>
        <v/>
      </c>
      <c r="T274" s="174" t="str">
        <f t="shared" si="35"/>
        <v/>
      </c>
      <c r="U274" s="174" t="str">
        <f t="shared" si="35"/>
        <v/>
      </c>
      <c r="V274" s="174" t="str">
        <f t="shared" si="35"/>
        <v/>
      </c>
      <c r="W274" s="174" t="str">
        <f t="shared" si="35"/>
        <v/>
      </c>
      <c r="X274" s="174" t="str">
        <f t="shared" si="35"/>
        <v/>
      </c>
      <c r="Y274" s="174" t="str">
        <f t="shared" si="35"/>
        <v/>
      </c>
      <c r="Z274" s="174" t="str">
        <f t="shared" si="35"/>
        <v/>
      </c>
      <c r="AA274" s="174" t="str">
        <f t="shared" si="35"/>
        <v/>
      </c>
      <c r="AB274" s="174" t="str">
        <f t="shared" si="35"/>
        <v/>
      </c>
      <c r="AC274" s="174" t="str">
        <f t="shared" si="35"/>
        <v/>
      </c>
      <c r="AD274" s="174" t="str">
        <f t="shared" si="35"/>
        <v/>
      </c>
      <c r="AE274" s="174" t="str">
        <f t="shared" si="35"/>
        <v/>
      </c>
      <c r="AF274" s="174" t="str">
        <f t="shared" si="35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1537" priority="64">
      <formula>$AH11=0</formula>
    </cfRule>
  </conditionalFormatting>
  <conditionalFormatting sqref="B8 M8 S8 AB8">
    <cfRule type="expression" dxfId="1536" priority="115">
      <formula>AND(C$9&gt;=14/24,C$9&lt;20/24)</formula>
    </cfRule>
    <cfRule type="expression" dxfId="1535" priority="116">
      <formula>AND(C$9&gt;=8/24,C$9&lt;14/24)</formula>
    </cfRule>
    <cfRule type="expression" dxfId="1534" priority="117">
      <formula>C$9&lt;8/24</formula>
    </cfRule>
  </conditionalFormatting>
  <conditionalFormatting sqref="B54:L54">
    <cfRule type="expression" dxfId="1533" priority="38">
      <formula>B$9&gt;=20/24</formula>
    </cfRule>
    <cfRule type="expression" dxfId="1532" priority="39">
      <formula>AND(B$9&gt;=14/24,B$9&lt;20/24)</formula>
    </cfRule>
    <cfRule type="expression" dxfId="1531" priority="40">
      <formula>AND(B$9&gt;=8/24,B$9&lt;14/24)</formula>
    </cfRule>
    <cfRule type="expression" dxfId="1530" priority="41">
      <formula>B$9&lt;8/24</formula>
    </cfRule>
  </conditionalFormatting>
  <conditionalFormatting sqref="B54:L66 M55:O66 P61:X66">
    <cfRule type="expression" dxfId="1529" priority="33">
      <formula>B54&gt;$AG54</formula>
    </cfRule>
  </conditionalFormatting>
  <conditionalFormatting sqref="B55:O59">
    <cfRule type="expression" dxfId="1528" priority="60">
      <formula>B$9&gt;=20/24</formula>
    </cfRule>
    <cfRule type="expression" dxfId="1527" priority="61">
      <formula>AND(B$9&gt;=14/24,B$9&lt;20/24)</formula>
    </cfRule>
    <cfRule type="expression" dxfId="1526" priority="62">
      <formula>AND(B$9&gt;=8/24,B$9&lt;14/24)</formula>
    </cfRule>
    <cfRule type="expression" dxfId="1525" priority="63">
      <formula>B$9&lt;8/24</formula>
    </cfRule>
  </conditionalFormatting>
  <conditionalFormatting sqref="B60:X60">
    <cfRule type="expression" dxfId="1524" priority="51">
      <formula>B$9&gt;=20/24</formula>
    </cfRule>
    <cfRule type="expression" dxfId="1523" priority="52">
      <formula>AND(B$9&gt;=14/24,B$9&lt;20/24)</formula>
    </cfRule>
    <cfRule type="expression" dxfId="1522" priority="53">
      <formula>AND(B$9&gt;=8/24,B$9&lt;14/24)</formula>
    </cfRule>
    <cfRule type="expression" dxfId="1521" priority="54">
      <formula>B$9&lt;8/24</formula>
    </cfRule>
  </conditionalFormatting>
  <conditionalFormatting sqref="B61:AD66">
    <cfRule type="expression" dxfId="1520" priority="34">
      <formula>B$9&gt;=20/24</formula>
    </cfRule>
    <cfRule type="expression" dxfId="1519" priority="35">
      <formula>AND(B$9&gt;=14/24,B$9&lt;20/24)</formula>
    </cfRule>
    <cfRule type="expression" dxfId="1518" priority="36">
      <formula>AND(B$9&gt;=8/24,B$9&lt;14/24)</formula>
    </cfRule>
    <cfRule type="expression" dxfId="1517" priority="37">
      <formula>B$9&lt;8/24</formula>
    </cfRule>
  </conditionalFormatting>
  <conditionalFormatting sqref="B9:AF45">
    <cfRule type="expression" dxfId="1516" priority="23">
      <formula>B$9&gt;=20/24</formula>
    </cfRule>
    <cfRule type="expression" dxfId="1515" priority="24">
      <formula>AND(B$9&gt;=14/24,B$9&lt;20/24)</formula>
    </cfRule>
    <cfRule type="expression" dxfId="1514" priority="25">
      <formula>AND(B$9&gt;=8/24,B$9&lt;14/24)</formula>
    </cfRule>
    <cfRule type="expression" dxfId="1513" priority="26">
      <formula>B$9&lt;8/24</formula>
    </cfRule>
  </conditionalFormatting>
  <conditionalFormatting sqref="B11:AF46">
    <cfRule type="expression" dxfId="1512" priority="22">
      <formula>B11&gt;$AG11</formula>
    </cfRule>
  </conditionalFormatting>
  <conditionalFormatting sqref="B46:AF46">
    <cfRule type="expression" dxfId="1511" priority="18">
      <formula>B$9&gt;=20/24</formula>
    </cfRule>
    <cfRule type="expression" dxfId="1510" priority="19">
      <formula>AND(B$9&gt;=14/24,B$9&lt;20/24)</formula>
    </cfRule>
    <cfRule type="expression" dxfId="1509" priority="20">
      <formula>AND(B$9&gt;=8/24,B$9&lt;14/24)</formula>
    </cfRule>
    <cfRule type="expression" dxfId="1508" priority="21">
      <formula>B$9&lt;8/24</formula>
    </cfRule>
  </conditionalFormatting>
  <conditionalFormatting sqref="B47:AF47">
    <cfRule type="expression" dxfId="1507" priority="32">
      <formula>B47&gt;$AG47</formula>
    </cfRule>
  </conditionalFormatting>
  <conditionalFormatting sqref="B47:AF49">
    <cfRule type="expression" dxfId="1506" priority="28">
      <formula>B$9&gt;=20/24</formula>
    </cfRule>
    <cfRule type="expression" dxfId="1505" priority="29">
      <formula>AND(B$9&gt;=14/24,B$9&lt;20/24)</formula>
    </cfRule>
    <cfRule type="expression" dxfId="1504" priority="30">
      <formula>AND(B$9&gt;=8/24,B$9&lt;14/24)</formula>
    </cfRule>
    <cfRule type="expression" dxfId="1503" priority="31">
      <formula>B$9&lt;8/24</formula>
    </cfRule>
  </conditionalFormatting>
  <conditionalFormatting sqref="B48:AF53">
    <cfRule type="expression" dxfId="1502" priority="27">
      <formula>B48&gt;$AG48</formula>
    </cfRule>
  </conditionalFormatting>
  <conditionalFormatting sqref="B51:AF53">
    <cfRule type="expression" dxfId="1501" priority="47">
      <formula>B$9&gt;=20/24</formula>
    </cfRule>
    <cfRule type="expression" dxfId="1500" priority="48">
      <formula>AND(B$9&gt;=14/24,B$9&lt;20/24)</formula>
    </cfRule>
    <cfRule type="expression" dxfId="1499" priority="49">
      <formula>AND(B$9&gt;=8/24,B$9&lt;14/24)</formula>
    </cfRule>
    <cfRule type="expression" dxfId="1498" priority="50">
      <formula>B$9&lt;8/24</formula>
    </cfRule>
  </conditionalFormatting>
  <conditionalFormatting sqref="B69:AF71">
    <cfRule type="expression" dxfId="1497" priority="55">
      <formula>B69&gt;$AG69</formula>
    </cfRule>
    <cfRule type="expression" dxfId="1496" priority="56">
      <formula>B$9&gt;=20/24</formula>
    </cfRule>
    <cfRule type="expression" dxfId="1495" priority="57">
      <formula>AND(B$9&gt;=14/24,B$9&lt;20/24)</formula>
    </cfRule>
    <cfRule type="expression" dxfId="1494" priority="58">
      <formula>AND(B$9&gt;=8/24,B$9&lt;14/24)</formula>
    </cfRule>
    <cfRule type="expression" dxfId="1493" priority="59">
      <formula>B$9&lt;8/24</formula>
    </cfRule>
  </conditionalFormatting>
  <conditionalFormatting sqref="B73:AF91">
    <cfRule type="expression" dxfId="1492" priority="1">
      <formula>B$9&gt;=20/24</formula>
    </cfRule>
    <cfRule type="expression" dxfId="1491" priority="2">
      <formula>AND(B$9&gt;=14/24,B$9&lt;20/24)</formula>
    </cfRule>
    <cfRule type="expression" dxfId="1490" priority="3">
      <formula>AND(B$9&gt;=8/24,B$9&lt;14/24)</formula>
    </cfRule>
    <cfRule type="expression" dxfId="1489" priority="4">
      <formula>B$9&lt;8/24</formula>
    </cfRule>
  </conditionalFormatting>
  <conditionalFormatting sqref="B111:AF120">
    <cfRule type="expression" dxfId="1488" priority="14">
      <formula>B$9&gt;=20/24</formula>
    </cfRule>
    <cfRule type="expression" dxfId="1487" priority="15">
      <formula>AND(B$9&gt;=14/24,B$9&lt;20/24)</formula>
    </cfRule>
    <cfRule type="expression" dxfId="1486" priority="16">
      <formula>AND(B$9&gt;=8/24,B$9&lt;14/24)</formula>
    </cfRule>
    <cfRule type="expression" dxfId="1485" priority="17">
      <formula>B$9&lt;8/24</formula>
    </cfRule>
  </conditionalFormatting>
  <conditionalFormatting sqref="B227:AF227 D229:AF230 B229:B235 D231:H231 J231:AF231 D232:AF235 U248:AF248">
    <cfRule type="expression" dxfId="1484" priority="108">
      <formula>B$9&gt;=20/24</formula>
    </cfRule>
    <cfRule type="expression" dxfId="1483" priority="109">
      <formula>AND(B$9&gt;=14/24,B$9&lt;20/24)</formula>
    </cfRule>
    <cfRule type="expression" dxfId="1482" priority="110">
      <formula>AND(B$9&gt;=8/24,B$9&lt;14/24)</formula>
    </cfRule>
    <cfRule type="expression" dxfId="1481" priority="111">
      <formula>B$9&lt;8/24</formula>
    </cfRule>
  </conditionalFormatting>
  <conditionalFormatting sqref="B72:AG72 B67:AG68">
    <cfRule type="expression" dxfId="1480" priority="42">
      <formula>B67&gt;$AG67</formula>
    </cfRule>
  </conditionalFormatting>
  <conditionalFormatting sqref="B93:AF109 B72:AG72">
    <cfRule type="expression" dxfId="1479" priority="43">
      <formula>B$9&gt;=20/24</formula>
    </cfRule>
    <cfRule type="expression" dxfId="1478" priority="44">
      <formula>AND(B$9&gt;=14/24,B$9&lt;20/24)</formula>
    </cfRule>
    <cfRule type="expression" dxfId="1477" priority="45">
      <formula>AND(B$9&gt;=8/24,B$9&lt;14/24)</formula>
    </cfRule>
    <cfRule type="expression" dxfId="1476" priority="46">
      <formula>B$9&lt;8/24</formula>
    </cfRule>
  </conditionalFormatting>
  <conditionalFormatting sqref="P55:AF66">
    <cfRule type="expression" dxfId="1475" priority="5">
      <formula>P55&gt;$AG55</formula>
    </cfRule>
  </conditionalFormatting>
  <conditionalFormatting sqref="M54:AG54">
    <cfRule type="expression" dxfId="1474" priority="76">
      <formula>M54&gt;$AG54</formula>
    </cfRule>
    <cfRule type="expression" dxfId="1473" priority="77">
      <formula>M$9&gt;=20/24</formula>
    </cfRule>
    <cfRule type="expression" dxfId="1472" priority="78">
      <formula>AND(M$9&gt;=14/24,M$9&lt;20/24)</formula>
    </cfRule>
    <cfRule type="expression" dxfId="1471" priority="79">
      <formula>AND(M$9&gt;=8/24,M$9&lt;14/24)</formula>
    </cfRule>
    <cfRule type="expression" dxfId="1470" priority="80">
      <formula>M$9&lt;8/24</formula>
    </cfRule>
  </conditionalFormatting>
  <conditionalFormatting sqref="P55:X59">
    <cfRule type="expression" dxfId="1469" priority="93">
      <formula>P$9&gt;=20/24</formula>
    </cfRule>
    <cfRule type="expression" dxfId="1468" priority="94">
      <formula>AND(P$9&gt;=14/24,P$9&lt;20/24)</formula>
    </cfRule>
    <cfRule type="expression" dxfId="1467" priority="95">
      <formula>AND(P$9&gt;=8/24,P$9&lt;14/24)</formula>
    </cfRule>
    <cfRule type="expression" dxfId="1466" priority="96">
      <formula>P$9&lt;8/24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465" priority="114">
      <formula>C$9&gt;=20/24</formula>
    </cfRule>
  </conditionalFormatting>
  <conditionalFormatting sqref="S8">
    <cfRule type="expression" dxfId="1464" priority="101">
      <formula>U$9&gt;=20/24</formula>
    </cfRule>
    <cfRule type="expression" dxfId="1463" priority="102">
      <formula>AND(U$9&gt;=14/24,U$9&lt;20/24)</formula>
    </cfRule>
    <cfRule type="expression" dxfId="1462" priority="103">
      <formula>AND(U$9&gt;=8/24,U$9&lt;14/24)</formula>
    </cfRule>
    <cfRule type="expression" dxfId="1461" priority="104">
      <formula>U$9&lt;8/24</formula>
    </cfRule>
  </conditionalFormatting>
  <conditionalFormatting sqref="S55:AF60">
    <cfRule type="expression" dxfId="1460" priority="10">
      <formula>S$9&gt;=20/24</formula>
    </cfRule>
    <cfRule type="expression" dxfId="1459" priority="11">
      <formula>AND(S$9&gt;=14/24,S$9&lt;20/24)</formula>
    </cfRule>
    <cfRule type="expression" dxfId="1458" priority="12">
      <formula>AND(S$9&gt;=8/24,S$9&lt;14/24)</formula>
    </cfRule>
    <cfRule type="expression" dxfId="1457" priority="13">
      <formula>S$9&lt;8/24</formula>
    </cfRule>
  </conditionalFormatting>
  <conditionalFormatting sqref="T248">
    <cfRule type="expression" dxfId="1456" priority="126">
      <formula>AX$9&gt;=20/24</formula>
    </cfRule>
    <cfRule type="expression" dxfId="1455" priority="127">
      <formula>AND(AX$9&gt;=14/24,AX$9&lt;20/24)</formula>
    </cfRule>
    <cfRule type="expression" dxfId="1454" priority="128">
      <formula>AND(AX$9&gt;=8/24,AX$9&lt;14/24)</formula>
    </cfRule>
    <cfRule type="expression" dxfId="1453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452" priority="97">
      <formula>AD$9&gt;=20/24</formula>
    </cfRule>
    <cfRule type="expression" dxfId="1451" priority="98">
      <formula>AND(AD$9&gt;=14/24,AD$9&lt;20/24)</formula>
    </cfRule>
    <cfRule type="expression" dxfId="1450" priority="99">
      <formula>AND(AD$9&gt;=8/24,AD$9&lt;14/24)</formula>
    </cfRule>
    <cfRule type="expression" dxfId="1449" priority="100">
      <formula>AD$9&lt;8/24</formula>
    </cfRule>
  </conditionalFormatting>
  <conditionalFormatting sqref="AE61:AF66">
    <cfRule type="expression" dxfId="1448" priority="6">
      <formula>AE$9&gt;=20/24</formula>
    </cfRule>
    <cfRule type="expression" dxfId="1447" priority="7">
      <formula>AND(AE$9&gt;=14/24,AE$9&lt;20/24)</formula>
    </cfRule>
    <cfRule type="expression" dxfId="1446" priority="8">
      <formula>AND(AE$9&gt;=8/24,AE$9&lt;14/24)</formula>
    </cfRule>
    <cfRule type="expression" dxfId="1445" priority="9">
      <formula>AE$9&lt;8/24</formula>
    </cfRule>
  </conditionalFormatting>
  <conditionalFormatting sqref="AG50">
    <cfRule type="expression" dxfId="1444" priority="84">
      <formula>AG50&gt;$AG50</formula>
    </cfRule>
  </conditionalFormatting>
  <conditionalFormatting sqref="AG89">
    <cfRule type="expression" dxfId="1443" priority="85">
      <formula>AG$9&gt;=20/24</formula>
    </cfRule>
    <cfRule type="expression" dxfId="1442" priority="86">
      <formula>AND(AG$9&gt;=14/24,AG$9&lt;20/24)</formula>
    </cfRule>
    <cfRule type="expression" dxfId="1441" priority="87">
      <formula>AND(AG$9&gt;=8/24,AG$9&lt;14/24)</formula>
    </cfRule>
    <cfRule type="expression" dxfId="1440" priority="88">
      <formula>AG$9&lt;8/24</formula>
    </cfRule>
  </conditionalFormatting>
  <conditionalFormatting sqref="AG248">
    <cfRule type="expression" dxfId="1439" priority="118">
      <formula>B$9&gt;=20/24</formula>
    </cfRule>
    <cfRule type="expression" dxfId="1438" priority="119">
      <formula>AND(B$9&gt;=14/24,B$9&lt;20/24)</formula>
    </cfRule>
    <cfRule type="expression" dxfId="1437" priority="120">
      <formula>AND(B$9&gt;=8/24,B$9&lt;14/24)</formula>
    </cfRule>
    <cfRule type="expression" dxfId="1436" priority="121">
      <formula>B$9&lt;8/24</formula>
    </cfRule>
  </conditionalFormatting>
  <conditionalFormatting sqref="AH248:AX248">
    <cfRule type="expression" dxfId="1435" priority="122">
      <formula>AG$9&gt;=20/24</formula>
    </cfRule>
    <cfRule type="expression" dxfId="1434" priority="123">
      <formula>AND(AG$9&gt;=14/24,AG$9&lt;20/24)</formula>
    </cfRule>
    <cfRule type="expression" dxfId="1433" priority="124">
      <formula>AND(AG$9&gt;=8/24,AG$9&lt;14/24)</formula>
    </cfRule>
    <cfRule type="expression" dxfId="1432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431" priority="131">
      <formula>AJ$9&gt;=20/24</formula>
    </cfRule>
    <cfRule type="expression" dxfId="1430" priority="132">
      <formula>AND(AJ$9&gt;=14/24,AJ$9&lt;20/24)</formula>
    </cfRule>
    <cfRule type="expression" dxfId="1429" priority="133">
      <formula>AND(AJ$9&gt;=8/24,AJ$9&lt;14/24)</formula>
    </cfRule>
    <cfRule type="expression" dxfId="1428" priority="134">
      <formula>AJ$9&lt;8/24</formula>
    </cfRule>
  </conditionalFormatting>
  <conditionalFormatting sqref="AL80:AN80 AL86:AN86">
    <cfRule type="expression" dxfId="1427" priority="72">
      <formula>AL$9&gt;=20/24</formula>
    </cfRule>
    <cfRule type="expression" dxfId="1426" priority="73">
      <formula>AND(AL$9&gt;=14/24,AL$9&lt;20/24)</formula>
    </cfRule>
    <cfRule type="expression" dxfId="1425" priority="74">
      <formula>AND(AL$9&gt;=8/24,AL$9&lt;14/24)</formula>
    </cfRule>
    <cfRule type="expression" dxfId="1424" priority="75">
      <formula>AL$9&lt;8/24</formula>
    </cfRule>
  </conditionalFormatting>
  <conditionalFormatting sqref="AN81:AN84">
    <cfRule type="expression" dxfId="1423" priority="68">
      <formula>AN$9&gt;=20/24</formula>
    </cfRule>
    <cfRule type="expression" dxfId="1422" priority="69">
      <formula>AND(AN$9&gt;=14/24,AN$9&lt;20/24)</formula>
    </cfRule>
    <cfRule type="expression" dxfId="1421" priority="70">
      <formula>AND(AN$9&gt;=8/24,AN$9&lt;14/24)</formula>
    </cfRule>
    <cfRule type="expression" dxfId="1420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930D5-DE92-4AD5-AC5C-3A8F439AD1D6}">
  <sheetPr codeName="Sheet45"/>
  <dimension ref="A1:CJ281"/>
  <sheetViews>
    <sheetView workbookViewId="0">
      <pane xSplit="1" ySplit="10" topLeftCell="H106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G124" sqref="AG124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2080/06/21</v>
      </c>
      <c r="C4" s="201"/>
      <c r="D4" s="201"/>
      <c r="E4" s="202" t="str">
        <f ca="1">"2080/"&amp;"06/"&amp;INT(MID(CELL("filename",G6),FIND("]",CELL("filename",G6))+1,200))</f>
        <v>2080/06/21</v>
      </c>
      <c r="F4" s="202"/>
      <c r="G4" s="202"/>
      <c r="H4" s="202" t="str">
        <f ca="1">TEXT(E4,"dddd")</f>
        <v>Friday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54.5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2151MW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Load=2043</v>
      </c>
      <c r="B7" s="35">
        <f t="shared" ref="B7:AF7" si="1">B91</f>
        <v>2044.44</v>
      </c>
      <c r="C7" s="35">
        <f t="shared" si="1"/>
        <v>2043.3400000000001</v>
      </c>
      <c r="D7" s="35">
        <f t="shared" si="1"/>
        <v>2043.54</v>
      </c>
      <c r="E7" s="35">
        <f t="shared" si="1"/>
        <v>2043.1399999999999</v>
      </c>
      <c r="F7" s="35">
        <f t="shared" si="1"/>
        <v>2044.34</v>
      </c>
      <c r="G7" s="35">
        <f t="shared" si="1"/>
        <v>2045.44</v>
      </c>
      <c r="H7" s="35">
        <f t="shared" si="1"/>
        <v>2045.3400000000001</v>
      </c>
      <c r="I7" s="35">
        <f t="shared" si="1"/>
        <v>2049.84</v>
      </c>
      <c r="J7" s="35">
        <f t="shared" si="1"/>
        <v>2115.94</v>
      </c>
      <c r="K7" s="35">
        <f t="shared" si="1"/>
        <v>2137.54</v>
      </c>
      <c r="L7" s="35">
        <f t="shared" si="1"/>
        <v>2135.94</v>
      </c>
      <c r="M7" s="35">
        <f t="shared" si="1"/>
        <v>2141.94</v>
      </c>
      <c r="N7" s="35">
        <f>N91</f>
        <v>2151.34</v>
      </c>
      <c r="O7" s="35">
        <f t="shared" si="1"/>
        <v>2146.34</v>
      </c>
      <c r="P7" s="35">
        <f t="shared" si="1"/>
        <v>2146.34</v>
      </c>
      <c r="Q7" s="35">
        <f t="shared" si="1"/>
        <v>2146.34</v>
      </c>
      <c r="R7" s="35">
        <f t="shared" si="1"/>
        <v>2161.34</v>
      </c>
      <c r="S7" s="35">
        <f t="shared" si="1"/>
        <v>2153.54</v>
      </c>
      <c r="T7" s="35">
        <f t="shared" si="1"/>
        <v>2149.94</v>
      </c>
      <c r="U7" s="35">
        <f t="shared" si="1"/>
        <v>2147.6400000000003</v>
      </c>
      <c r="V7" s="35">
        <f t="shared" si="1"/>
        <v>2095.34</v>
      </c>
      <c r="W7" s="35">
        <f t="shared" si="1"/>
        <v>2108.94</v>
      </c>
      <c r="X7" s="35">
        <f t="shared" si="1"/>
        <v>2154.7399999999998</v>
      </c>
      <c r="Y7" s="35">
        <f t="shared" si="1"/>
        <v>2069.64</v>
      </c>
      <c r="Z7" s="35">
        <f t="shared" si="1"/>
        <v>2212.34</v>
      </c>
      <c r="AA7" s="35">
        <f t="shared" si="1"/>
        <v>2199.7400000000002</v>
      </c>
      <c r="AB7" s="35">
        <f t="shared" si="1"/>
        <v>2175.2400000000002</v>
      </c>
      <c r="AC7" s="35">
        <f t="shared" si="1"/>
        <v>2202.7400000000002</v>
      </c>
      <c r="AD7" s="35">
        <f t="shared" si="1"/>
        <v>2171.44</v>
      </c>
      <c r="AE7" s="35">
        <f t="shared" si="1"/>
        <v>2099.1400000000003</v>
      </c>
      <c r="AF7" s="35">
        <f t="shared" si="1"/>
        <v>2109.44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90.4</v>
      </c>
      <c r="C11" s="45">
        <v>90.4</v>
      </c>
      <c r="D11" s="45">
        <v>90.4</v>
      </c>
      <c r="E11" s="45">
        <v>90.4</v>
      </c>
      <c r="F11" s="45">
        <v>90.4</v>
      </c>
      <c r="G11" s="45">
        <v>90.4</v>
      </c>
      <c r="H11" s="45">
        <v>90.4</v>
      </c>
      <c r="I11" s="45">
        <v>85.4</v>
      </c>
      <c r="J11" s="45">
        <v>85.8</v>
      </c>
      <c r="K11" s="45">
        <v>90.4</v>
      </c>
      <c r="L11" s="45">
        <v>90.4</v>
      </c>
      <c r="M11" s="45">
        <v>90.4</v>
      </c>
      <c r="N11" s="45">
        <v>90.4</v>
      </c>
      <c r="O11" s="45">
        <v>90.4</v>
      </c>
      <c r="P11" s="45">
        <v>90.4</v>
      </c>
      <c r="Q11" s="45">
        <v>90.4</v>
      </c>
      <c r="R11" s="45">
        <v>90.4</v>
      </c>
      <c r="S11" s="45">
        <v>90.4</v>
      </c>
      <c r="T11" s="45">
        <v>90.4</v>
      </c>
      <c r="U11" s="45">
        <v>90.4</v>
      </c>
      <c r="V11" s="45">
        <v>86.4</v>
      </c>
      <c r="W11" s="45">
        <v>86.4</v>
      </c>
      <c r="X11" s="45">
        <v>86.4</v>
      </c>
      <c r="Y11" s="45">
        <v>90</v>
      </c>
      <c r="Z11" s="45">
        <v>90</v>
      </c>
      <c r="AA11" s="45">
        <v>90</v>
      </c>
      <c r="AB11" s="45">
        <v>90</v>
      </c>
      <c r="AC11" s="45">
        <v>90</v>
      </c>
      <c r="AD11" s="45">
        <v>90</v>
      </c>
      <c r="AE11" s="45">
        <v>90</v>
      </c>
      <c r="AF11" s="45">
        <v>90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85.4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54.4</v>
      </c>
      <c r="C13" s="45">
        <v>54.2</v>
      </c>
      <c r="D13" s="45">
        <v>54.3</v>
      </c>
      <c r="E13" s="45">
        <v>54.3</v>
      </c>
      <c r="F13" s="45">
        <v>54.3</v>
      </c>
      <c r="G13" s="45">
        <v>54.3</v>
      </c>
      <c r="H13" s="45">
        <v>54.3</v>
      </c>
      <c r="I13" s="45">
        <v>54.3</v>
      </c>
      <c r="J13" s="45">
        <v>54.1</v>
      </c>
      <c r="K13" s="45">
        <v>54.1</v>
      </c>
      <c r="L13" s="45">
        <v>54.1</v>
      </c>
      <c r="M13" s="45">
        <v>54.1</v>
      </c>
      <c r="N13" s="45">
        <v>54.1</v>
      </c>
      <c r="O13" s="45">
        <v>54.1</v>
      </c>
      <c r="P13" s="45">
        <v>54.1</v>
      </c>
      <c r="Q13" s="45">
        <v>54.1</v>
      </c>
      <c r="R13" s="45">
        <v>54.1</v>
      </c>
      <c r="S13" s="45">
        <v>54.1</v>
      </c>
      <c r="T13" s="45">
        <v>54.1</v>
      </c>
      <c r="U13" s="45">
        <v>54.1</v>
      </c>
      <c r="V13" s="45">
        <v>52</v>
      </c>
      <c r="W13" s="45">
        <v>52</v>
      </c>
      <c r="X13" s="45">
        <v>54</v>
      </c>
      <c r="Y13" s="45">
        <v>54</v>
      </c>
      <c r="Z13" s="45">
        <v>54</v>
      </c>
      <c r="AA13" s="45">
        <v>54</v>
      </c>
      <c r="AB13" s="45">
        <v>54</v>
      </c>
      <c r="AC13" s="45">
        <v>54</v>
      </c>
      <c r="AD13" s="45">
        <v>54</v>
      </c>
      <c r="AE13" s="45">
        <v>54</v>
      </c>
      <c r="AF13" s="45">
        <v>54</v>
      </c>
      <c r="AG13" s="46">
        <v>52.4</v>
      </c>
      <c r="AH13" s="47">
        <f t="shared" si="2"/>
        <v>54.4</v>
      </c>
      <c r="AI13" s="48">
        <f t="shared" si="3"/>
        <v>52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50.3</v>
      </c>
      <c r="E14" s="58">
        <v>50.3</v>
      </c>
      <c r="F14" s="58">
        <v>50.3</v>
      </c>
      <c r="G14" s="58">
        <v>50.3</v>
      </c>
      <c r="H14" s="58">
        <v>50.3</v>
      </c>
      <c r="I14" s="58">
        <v>50.3</v>
      </c>
      <c r="J14" s="58">
        <v>50.3</v>
      </c>
      <c r="K14" s="58">
        <v>50.3</v>
      </c>
      <c r="L14" s="58">
        <v>50.3</v>
      </c>
      <c r="M14" s="58">
        <v>50.3</v>
      </c>
      <c r="N14" s="58">
        <v>50.3</v>
      </c>
      <c r="O14" s="58">
        <v>50.3</v>
      </c>
      <c r="P14" s="58">
        <v>50.3</v>
      </c>
      <c r="Q14" s="58">
        <v>50.3</v>
      </c>
      <c r="R14" s="58">
        <v>50.3</v>
      </c>
      <c r="S14" s="58">
        <v>50.3</v>
      </c>
      <c r="T14" s="58">
        <v>50.3</v>
      </c>
      <c r="U14" s="58">
        <v>50.3</v>
      </c>
      <c r="V14" s="58">
        <v>50.3</v>
      </c>
      <c r="W14" s="58">
        <v>50.3</v>
      </c>
      <c r="X14" s="58">
        <v>50.3</v>
      </c>
      <c r="Y14" s="58">
        <v>50.3</v>
      </c>
      <c r="Z14" s="58">
        <v>50.3</v>
      </c>
      <c r="AA14" s="58">
        <v>50.3</v>
      </c>
      <c r="AB14" s="58">
        <v>50.3</v>
      </c>
      <c r="AC14" s="58">
        <v>50.3</v>
      </c>
      <c r="AD14" s="58">
        <v>50.3</v>
      </c>
      <c r="AE14" s="58">
        <v>50.3</v>
      </c>
      <c r="AF14" s="58">
        <v>50.3</v>
      </c>
      <c r="AG14" s="49">
        <v>50</v>
      </c>
      <c r="AH14" s="47">
        <f t="shared" si="2"/>
        <v>50.4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37.4</v>
      </c>
      <c r="C15" s="45">
        <v>37.299999999999997</v>
      </c>
      <c r="D15" s="45">
        <v>37.299999999999997</v>
      </c>
      <c r="E15" s="45">
        <v>37.299999999999997</v>
      </c>
      <c r="F15" s="45">
        <v>37.299999999999997</v>
      </c>
      <c r="G15" s="45">
        <v>37.299999999999997</v>
      </c>
      <c r="H15" s="45">
        <v>46.7</v>
      </c>
      <c r="I15" s="45">
        <v>46.7</v>
      </c>
      <c r="J15" s="45">
        <v>46.7</v>
      </c>
      <c r="K15" s="45">
        <v>46.7</v>
      </c>
      <c r="L15" s="45">
        <v>46.7</v>
      </c>
      <c r="M15" s="45">
        <v>46.7</v>
      </c>
      <c r="N15" s="45">
        <v>46.7</v>
      </c>
      <c r="O15" s="45">
        <v>46.7</v>
      </c>
      <c r="P15" s="45">
        <v>46.7</v>
      </c>
      <c r="Q15" s="45">
        <v>46.7</v>
      </c>
      <c r="R15" s="45">
        <v>46.7</v>
      </c>
      <c r="S15" s="45">
        <v>46.7</v>
      </c>
      <c r="T15" s="45">
        <v>46.7</v>
      </c>
      <c r="U15" s="45">
        <v>46.7</v>
      </c>
      <c r="V15" s="45">
        <v>46.7</v>
      </c>
      <c r="W15" s="45">
        <v>46.7</v>
      </c>
      <c r="X15" s="45">
        <v>46.7</v>
      </c>
      <c r="Y15" s="45">
        <v>46.7</v>
      </c>
      <c r="Z15" s="45">
        <v>46.7</v>
      </c>
      <c r="AA15" s="45">
        <v>46.7</v>
      </c>
      <c r="AB15" s="45">
        <v>46.7</v>
      </c>
      <c r="AC15" s="45">
        <v>46.7</v>
      </c>
      <c r="AD15" s="45">
        <v>46.7</v>
      </c>
      <c r="AE15" s="45">
        <v>46.7</v>
      </c>
      <c r="AF15" s="45">
        <v>46.7</v>
      </c>
      <c r="AG15" s="49">
        <v>45</v>
      </c>
      <c r="AH15" s="47">
        <f t="shared" si="2"/>
        <v>46.7</v>
      </c>
      <c r="AI15" s="48">
        <f t="shared" si="3"/>
        <v>37.299999999999997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0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28.4</v>
      </c>
      <c r="C17" s="45">
        <v>28.4</v>
      </c>
      <c r="D17" s="45">
        <v>29</v>
      </c>
      <c r="E17" s="45">
        <v>29</v>
      </c>
      <c r="F17" s="45">
        <v>29</v>
      </c>
      <c r="G17" s="45">
        <v>29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29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41</v>
      </c>
      <c r="T17" s="45">
        <v>41</v>
      </c>
      <c r="U17" s="45">
        <v>41</v>
      </c>
      <c r="V17" s="45">
        <v>30</v>
      </c>
      <c r="W17" s="45">
        <v>30</v>
      </c>
      <c r="X17" s="45">
        <v>30</v>
      </c>
      <c r="Y17" s="45">
        <v>0</v>
      </c>
      <c r="Z17" s="45">
        <v>36</v>
      </c>
      <c r="AA17" s="45">
        <v>36</v>
      </c>
      <c r="AB17" s="45">
        <v>36</v>
      </c>
      <c r="AC17" s="45">
        <v>28</v>
      </c>
      <c r="AD17" s="45">
        <v>28</v>
      </c>
      <c r="AE17" s="45">
        <v>28</v>
      </c>
      <c r="AF17" s="45">
        <v>28</v>
      </c>
      <c r="AG17" s="49">
        <v>42</v>
      </c>
      <c r="AH17" s="47">
        <f t="shared" si="2"/>
        <v>41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0</v>
      </c>
      <c r="M19" s="45"/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15</v>
      </c>
      <c r="K20" s="45">
        <v>15</v>
      </c>
      <c r="L20" s="45">
        <v>24</v>
      </c>
      <c r="M20" s="45">
        <v>30</v>
      </c>
      <c r="N20" s="45">
        <v>20</v>
      </c>
      <c r="O20" s="45">
        <v>20</v>
      </c>
      <c r="P20" s="45">
        <v>20</v>
      </c>
      <c r="Q20" s="45">
        <v>20</v>
      </c>
      <c r="R20" s="45">
        <v>20</v>
      </c>
      <c r="S20" s="45">
        <v>29.6</v>
      </c>
      <c r="T20" s="45">
        <v>29.6</v>
      </c>
      <c r="U20" s="45">
        <v>29.6</v>
      </c>
      <c r="V20" s="45">
        <v>20</v>
      </c>
      <c r="W20" s="45">
        <v>20</v>
      </c>
      <c r="X20" s="45">
        <v>20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15</v>
      </c>
      <c r="AF20" s="45">
        <v>15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</v>
      </c>
      <c r="C21" s="45">
        <v>33</v>
      </c>
      <c r="D21" s="45">
        <v>33</v>
      </c>
      <c r="E21" s="45">
        <v>33</v>
      </c>
      <c r="F21" s="45">
        <v>33</v>
      </c>
      <c r="G21" s="45">
        <v>33</v>
      </c>
      <c r="H21" s="45">
        <v>33</v>
      </c>
      <c r="I21" s="45">
        <v>33</v>
      </c>
      <c r="J21" s="45">
        <v>25.9</v>
      </c>
      <c r="K21" s="45">
        <v>33</v>
      </c>
      <c r="L21" s="45">
        <v>33</v>
      </c>
      <c r="M21" s="45">
        <v>33</v>
      </c>
      <c r="N21" s="45">
        <v>33</v>
      </c>
      <c r="O21" s="45">
        <v>33</v>
      </c>
      <c r="P21" s="45">
        <v>33</v>
      </c>
      <c r="Q21" s="45">
        <v>33</v>
      </c>
      <c r="R21" s="45">
        <v>33</v>
      </c>
      <c r="S21" s="45">
        <v>33</v>
      </c>
      <c r="T21" s="45">
        <v>33</v>
      </c>
      <c r="U21" s="45">
        <v>33</v>
      </c>
      <c r="V21" s="45">
        <v>25</v>
      </c>
      <c r="W21" s="45">
        <v>25</v>
      </c>
      <c r="X21" s="45">
        <v>25</v>
      </c>
      <c r="Y21" s="45">
        <v>30</v>
      </c>
      <c r="Z21" s="45">
        <v>30</v>
      </c>
      <c r="AA21" s="45">
        <v>30</v>
      </c>
      <c r="AB21" s="45">
        <v>30</v>
      </c>
      <c r="AC21" s="45">
        <v>30</v>
      </c>
      <c r="AD21" s="45">
        <v>30</v>
      </c>
      <c r="AE21" s="45">
        <v>30</v>
      </c>
      <c r="AF21" s="45">
        <v>30</v>
      </c>
      <c r="AG21" s="49">
        <v>24.2</v>
      </c>
      <c r="AH21" s="47">
        <f t="shared" si="2"/>
        <v>33</v>
      </c>
      <c r="AI21" s="48">
        <f t="shared" si="3"/>
        <v>25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13.5</v>
      </c>
      <c r="K23" s="45">
        <f>0.7*27</f>
        <v>18.899999999999999</v>
      </c>
      <c r="L23" s="45">
        <v>21</v>
      </c>
      <c r="M23" s="45">
        <v>21</v>
      </c>
      <c r="N23" s="45">
        <v>21</v>
      </c>
      <c r="O23" s="45">
        <v>18</v>
      </c>
      <c r="P23" s="45">
        <v>18</v>
      </c>
      <c r="Q23" s="45">
        <v>18</v>
      </c>
      <c r="R23" s="45">
        <v>27</v>
      </c>
      <c r="S23" s="45">
        <v>27</v>
      </c>
      <c r="T23" s="45">
        <v>27</v>
      </c>
      <c r="U23" s="45">
        <v>27</v>
      </c>
      <c r="V23" s="45">
        <v>20</v>
      </c>
      <c r="W23" s="45">
        <v>20</v>
      </c>
      <c r="X23" s="45">
        <v>20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27</v>
      </c>
      <c r="AE23" s="45">
        <v>13.5</v>
      </c>
      <c r="AF23" s="45">
        <v>13.5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26</v>
      </c>
      <c r="T24" s="45">
        <v>26</v>
      </c>
      <c r="U24" s="45">
        <v>26</v>
      </c>
      <c r="V24" s="45">
        <v>26</v>
      </c>
      <c r="W24" s="45">
        <v>26</v>
      </c>
      <c r="X24" s="45">
        <v>26</v>
      </c>
      <c r="Y24" s="45">
        <v>0</v>
      </c>
      <c r="Z24" s="45">
        <v>25</v>
      </c>
      <c r="AA24" s="45">
        <v>25</v>
      </c>
      <c r="AB24" s="45">
        <v>25</v>
      </c>
      <c r="AC24" s="45">
        <v>25</v>
      </c>
      <c r="AD24" s="45">
        <v>24.6</v>
      </c>
      <c r="AE24" s="45">
        <v>24.6</v>
      </c>
      <c r="AF24" s="45">
        <v>24.6</v>
      </c>
      <c r="AG24" s="49">
        <v>25</v>
      </c>
      <c r="AH24" s="47">
        <f t="shared" si="2"/>
        <v>26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12.5</v>
      </c>
      <c r="K27" s="45">
        <v>17</v>
      </c>
      <c r="L27" s="45">
        <v>20</v>
      </c>
      <c r="M27" s="45">
        <v>20</v>
      </c>
      <c r="N27" s="45">
        <v>20</v>
      </c>
      <c r="O27" s="45">
        <v>18</v>
      </c>
      <c r="P27" s="45">
        <v>18</v>
      </c>
      <c r="Q27" s="45">
        <v>18</v>
      </c>
      <c r="R27" s="45">
        <v>18</v>
      </c>
      <c r="S27" s="45">
        <v>25</v>
      </c>
      <c r="T27" s="45">
        <v>25</v>
      </c>
      <c r="U27" s="45">
        <v>25</v>
      </c>
      <c r="V27" s="45">
        <v>18</v>
      </c>
      <c r="W27" s="45">
        <v>18</v>
      </c>
      <c r="X27" s="45">
        <v>18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12.5</v>
      </c>
      <c r="AF27" s="45">
        <v>12.5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24.7</v>
      </c>
      <c r="C28" s="45">
        <v>24.7</v>
      </c>
      <c r="D28" s="45">
        <v>24.7</v>
      </c>
      <c r="E28" s="45">
        <v>24.7</v>
      </c>
      <c r="F28" s="45">
        <v>24.7</v>
      </c>
      <c r="G28" s="45">
        <v>24.7</v>
      </c>
      <c r="H28" s="45">
        <v>24.7</v>
      </c>
      <c r="I28" s="45">
        <v>24.7</v>
      </c>
      <c r="J28" s="45">
        <v>24.7</v>
      </c>
      <c r="K28" s="45">
        <v>24.7</v>
      </c>
      <c r="L28" s="45">
        <v>24.7</v>
      </c>
      <c r="M28" s="45">
        <v>24.7</v>
      </c>
      <c r="N28" s="45">
        <v>24.7</v>
      </c>
      <c r="O28" s="45">
        <v>24.7</v>
      </c>
      <c r="P28" s="45">
        <v>24.7</v>
      </c>
      <c r="Q28" s="45">
        <v>24.7</v>
      </c>
      <c r="R28" s="45">
        <v>24.7</v>
      </c>
      <c r="S28" s="45">
        <v>24.7</v>
      </c>
      <c r="T28" s="45">
        <v>24.7</v>
      </c>
      <c r="U28" s="45">
        <v>24.7</v>
      </c>
      <c r="V28" s="45">
        <v>24.7</v>
      </c>
      <c r="W28" s="45">
        <v>24.7</v>
      </c>
      <c r="X28" s="45">
        <v>24.7</v>
      </c>
      <c r="Y28" s="45">
        <v>24.7</v>
      </c>
      <c r="Z28" s="45">
        <v>24.7</v>
      </c>
      <c r="AA28" s="45">
        <v>24.7</v>
      </c>
      <c r="AB28" s="45">
        <v>24.7</v>
      </c>
      <c r="AC28" s="45">
        <v>24.7</v>
      </c>
      <c r="AD28" s="45">
        <v>24.7</v>
      </c>
      <c r="AE28" s="45">
        <v>24.7</v>
      </c>
      <c r="AF28" s="45">
        <v>24.7</v>
      </c>
      <c r="AG28" s="49">
        <v>23.5</v>
      </c>
      <c r="AH28" s="47">
        <f t="shared" si="2"/>
        <v>24.7</v>
      </c>
      <c r="AI28" s="48">
        <f t="shared" si="3"/>
        <v>24.7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8</v>
      </c>
      <c r="K33" s="45">
        <v>8</v>
      </c>
      <c r="L33" s="45">
        <v>8</v>
      </c>
      <c r="M33" s="45">
        <v>8</v>
      </c>
      <c r="N33" s="45">
        <v>8</v>
      </c>
      <c r="O33" s="45">
        <v>8</v>
      </c>
      <c r="P33" s="45">
        <v>8</v>
      </c>
      <c r="Q33" s="45">
        <v>8</v>
      </c>
      <c r="R33" s="45">
        <v>8</v>
      </c>
      <c r="S33" s="45">
        <v>0</v>
      </c>
      <c r="T33" s="45">
        <v>0</v>
      </c>
      <c r="U33" s="45">
        <v>0</v>
      </c>
      <c r="V33" s="45">
        <v>0</v>
      </c>
      <c r="W33" s="45">
        <v>5</v>
      </c>
      <c r="X33" s="45">
        <v>5</v>
      </c>
      <c r="Y33" s="45">
        <v>0</v>
      </c>
      <c r="Z33" s="45">
        <v>5</v>
      </c>
      <c r="AA33" s="45">
        <v>5</v>
      </c>
      <c r="AB33" s="45">
        <v>5</v>
      </c>
      <c r="AC33" s="45">
        <v>4</v>
      </c>
      <c r="AD33" s="45">
        <v>4</v>
      </c>
      <c r="AE33" s="45">
        <v>4</v>
      </c>
      <c r="AF33" s="45">
        <v>4</v>
      </c>
      <c r="AG33" s="49">
        <v>20</v>
      </c>
      <c r="AH33" s="47">
        <f t="shared" si="2"/>
        <v>8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5</v>
      </c>
      <c r="K34" s="45">
        <v>5</v>
      </c>
      <c r="L34" s="45">
        <v>5</v>
      </c>
      <c r="M34" s="45">
        <v>5</v>
      </c>
      <c r="N34" s="45">
        <v>5</v>
      </c>
      <c r="O34" s="45">
        <v>5</v>
      </c>
      <c r="P34" s="45">
        <v>5</v>
      </c>
      <c r="Q34" s="45">
        <v>5</v>
      </c>
      <c r="R34" s="45">
        <v>5</v>
      </c>
      <c r="S34" s="45">
        <v>0</v>
      </c>
      <c r="T34" s="45">
        <v>0</v>
      </c>
      <c r="U34" s="45">
        <v>7</v>
      </c>
      <c r="V34" s="45">
        <v>5</v>
      </c>
      <c r="W34" s="45">
        <v>5</v>
      </c>
      <c r="X34" s="45">
        <v>5</v>
      </c>
      <c r="Y34" s="45">
        <v>0</v>
      </c>
      <c r="Z34" s="45">
        <v>5</v>
      </c>
      <c r="AA34" s="45">
        <v>5</v>
      </c>
      <c r="AB34" s="45">
        <v>5</v>
      </c>
      <c r="AC34" s="45">
        <v>4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7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7</v>
      </c>
      <c r="C37" s="45">
        <v>7</v>
      </c>
      <c r="D37" s="45">
        <v>7</v>
      </c>
      <c r="E37" s="45">
        <v>7</v>
      </c>
      <c r="F37" s="45">
        <v>7</v>
      </c>
      <c r="G37" s="45">
        <v>7</v>
      </c>
      <c r="H37" s="45">
        <v>7</v>
      </c>
      <c r="I37" s="45">
        <v>7</v>
      </c>
      <c r="J37" s="45">
        <v>7</v>
      </c>
      <c r="K37" s="45">
        <v>7</v>
      </c>
      <c r="L37" s="45">
        <v>7</v>
      </c>
      <c r="M37" s="45">
        <v>7</v>
      </c>
      <c r="N37" s="45">
        <v>7</v>
      </c>
      <c r="O37" s="45">
        <v>7</v>
      </c>
      <c r="P37" s="45">
        <v>7</v>
      </c>
      <c r="Q37" s="45">
        <v>7</v>
      </c>
      <c r="R37" s="45">
        <v>7</v>
      </c>
      <c r="S37" s="45">
        <v>7</v>
      </c>
      <c r="T37" s="45">
        <v>7</v>
      </c>
      <c r="U37" s="45">
        <v>7</v>
      </c>
      <c r="V37" s="45">
        <v>7</v>
      </c>
      <c r="W37" s="45">
        <v>7</v>
      </c>
      <c r="X37" s="45">
        <v>7</v>
      </c>
      <c r="Y37" s="45">
        <v>0</v>
      </c>
      <c r="Z37" s="45">
        <v>7</v>
      </c>
      <c r="AA37" s="45">
        <v>7</v>
      </c>
      <c r="AB37" s="45">
        <v>7</v>
      </c>
      <c r="AC37" s="45">
        <v>7</v>
      </c>
      <c r="AD37" s="45">
        <v>7</v>
      </c>
      <c r="AE37" s="45">
        <v>7</v>
      </c>
      <c r="AF37" s="45">
        <v>7</v>
      </c>
      <c r="AG37" s="49">
        <v>13.6</v>
      </c>
      <c r="AH37" s="47">
        <f t="shared" si="2"/>
        <v>7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6</v>
      </c>
      <c r="K39" s="45">
        <v>6</v>
      </c>
      <c r="L39" s="45">
        <v>9.6</v>
      </c>
      <c r="M39" s="45">
        <v>9.6</v>
      </c>
      <c r="N39" s="45">
        <v>6</v>
      </c>
      <c r="O39" s="45">
        <v>6</v>
      </c>
      <c r="P39" s="45">
        <v>6</v>
      </c>
      <c r="Q39" s="45">
        <v>6</v>
      </c>
      <c r="R39" s="45">
        <v>12</v>
      </c>
      <c r="S39" s="45">
        <v>12</v>
      </c>
      <c r="T39" s="45">
        <v>12</v>
      </c>
      <c r="U39" s="45">
        <v>12</v>
      </c>
      <c r="V39" s="45">
        <v>9</v>
      </c>
      <c r="W39" s="45">
        <v>9</v>
      </c>
      <c r="X39" s="45">
        <v>9</v>
      </c>
      <c r="Y39" s="45">
        <v>12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12</v>
      </c>
      <c r="AF39" s="45">
        <v>6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0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0</v>
      </c>
      <c r="T45" s="45">
        <v>0</v>
      </c>
      <c r="U45" s="45">
        <v>0</v>
      </c>
      <c r="V45" s="45">
        <v>0</v>
      </c>
      <c r="W45" s="45">
        <v>0</v>
      </c>
      <c r="X45" s="45">
        <v>0</v>
      </c>
      <c r="Y45" s="45">
        <v>0</v>
      </c>
      <c r="Z45" s="45">
        <v>0</v>
      </c>
      <c r="AA45" s="45">
        <v>0</v>
      </c>
      <c r="AB45" s="45">
        <v>0</v>
      </c>
      <c r="AC45" s="45">
        <v>4</v>
      </c>
      <c r="AD45" s="45">
        <v>4</v>
      </c>
      <c r="AE45" s="45">
        <v>4</v>
      </c>
      <c r="AF45" s="45">
        <v>9</v>
      </c>
      <c r="AG45" s="54">
        <v>10</v>
      </c>
      <c r="AH45" s="47">
        <f t="shared" si="2"/>
        <v>10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f>37.6+94.9</f>
        <v>132.5</v>
      </c>
      <c r="C49" s="56">
        <f>37.5+94.9</f>
        <v>132.4</v>
      </c>
      <c r="D49" s="56">
        <f>94.9+37.54</f>
        <v>132.44</v>
      </c>
      <c r="E49" s="58">
        <f>95.1+37.6</f>
        <v>132.69999999999999</v>
      </c>
      <c r="F49" s="58">
        <f>95.3+37.7</f>
        <v>133</v>
      </c>
      <c r="G49" s="58">
        <f>94.8+37.3</f>
        <v>132.1</v>
      </c>
      <c r="H49" s="58">
        <f>94.3+37.2</f>
        <v>131.5</v>
      </c>
      <c r="I49" s="58">
        <f>93.6+37</f>
        <v>130.6</v>
      </c>
      <c r="J49" s="58">
        <f>93.4+36.9</f>
        <v>130.30000000000001</v>
      </c>
      <c r="K49" s="58">
        <f>92.9+36.5</f>
        <v>129.4</v>
      </c>
      <c r="L49" s="58">
        <f t="shared" ref="L49:S49" si="4">93+36.5</f>
        <v>129.5</v>
      </c>
      <c r="M49" s="58">
        <f t="shared" si="4"/>
        <v>129.5</v>
      </c>
      <c r="N49" s="58">
        <f t="shared" si="4"/>
        <v>129.5</v>
      </c>
      <c r="O49" s="58">
        <f t="shared" si="4"/>
        <v>129.5</v>
      </c>
      <c r="P49" s="58">
        <f t="shared" si="4"/>
        <v>129.5</v>
      </c>
      <c r="Q49" s="58">
        <f t="shared" si="4"/>
        <v>129.5</v>
      </c>
      <c r="R49" s="58">
        <f t="shared" si="4"/>
        <v>129.5</v>
      </c>
      <c r="S49" s="58">
        <f t="shared" si="4"/>
        <v>129.5</v>
      </c>
      <c r="T49" s="58">
        <v>128</v>
      </c>
      <c r="U49" s="58">
        <v>128</v>
      </c>
      <c r="V49" s="58">
        <f>34.4+91.1</f>
        <v>125.5</v>
      </c>
      <c r="W49" s="58">
        <f>34.4+91.1</f>
        <v>125.5</v>
      </c>
      <c r="X49" s="56">
        <f>18.9+73.6</f>
        <v>92.5</v>
      </c>
      <c r="Y49" s="56">
        <v>92.5</v>
      </c>
      <c r="Z49" s="56">
        <f>17.4+67.4</f>
        <v>84.800000000000011</v>
      </c>
      <c r="AA49" s="56">
        <f>17.4+67.4</f>
        <v>84.800000000000011</v>
      </c>
      <c r="AB49" s="56">
        <f>17.4+67.4</f>
        <v>84.800000000000011</v>
      </c>
      <c r="AC49" s="56">
        <v>128.9</v>
      </c>
      <c r="AD49" s="56">
        <v>130</v>
      </c>
      <c r="AE49" s="56">
        <v>131.1</v>
      </c>
      <c r="AF49" s="56">
        <v>131.9</v>
      </c>
      <c r="AG49" s="54">
        <v>240</v>
      </c>
      <c r="AH49" s="47">
        <f t="shared" si="2"/>
        <v>133</v>
      </c>
      <c r="AI49" s="48">
        <f t="shared" si="3"/>
        <v>84.800000000000011</v>
      </c>
      <c r="AK49" s="50"/>
    </row>
    <row r="50" spans="1:41" ht="15.75" thickBot="1" x14ac:dyDescent="0.3">
      <c r="A50" s="59" t="s">
        <v>58</v>
      </c>
      <c r="B50" s="60">
        <f>SUM(B11:B48)</f>
        <v>1077.8</v>
      </c>
      <c r="C50" s="60">
        <f>SUM(C11:C48)</f>
        <v>1077.5</v>
      </c>
      <c r="D50" s="60">
        <f>SUM(D11:D48)</f>
        <v>1078.0999999999999</v>
      </c>
      <c r="E50" s="60">
        <f t="shared" ref="E50:AF50" si="5">SUM(E11:E48)</f>
        <v>1078.0999999999999</v>
      </c>
      <c r="F50" s="60">
        <f t="shared" si="5"/>
        <v>1078.0999999999999</v>
      </c>
      <c r="G50" s="60">
        <f t="shared" si="5"/>
        <v>1078.0999999999999</v>
      </c>
      <c r="H50" s="60">
        <f t="shared" si="5"/>
        <v>1087.5</v>
      </c>
      <c r="I50" s="60">
        <f t="shared" si="5"/>
        <v>1082.5</v>
      </c>
      <c r="J50" s="60">
        <f t="shared" si="5"/>
        <v>1148.5999999999999</v>
      </c>
      <c r="K50" s="60">
        <f t="shared" si="5"/>
        <v>1170.2</v>
      </c>
      <c r="L50" s="60">
        <f t="shared" si="5"/>
        <v>1163.9000000000001</v>
      </c>
      <c r="M50" s="60">
        <f t="shared" si="5"/>
        <v>1169.9000000000001</v>
      </c>
      <c r="N50" s="60">
        <f t="shared" si="5"/>
        <v>1179.3000000000002</v>
      </c>
      <c r="O50" s="60">
        <f t="shared" si="5"/>
        <v>1174.3000000000002</v>
      </c>
      <c r="P50" s="60">
        <f t="shared" si="5"/>
        <v>1174.3000000000002</v>
      </c>
      <c r="Q50" s="60">
        <f>SUM(Q11:Q48)</f>
        <v>1174.3000000000002</v>
      </c>
      <c r="R50" s="60">
        <f>SUM(R11:R48)</f>
        <v>1189.3000000000002</v>
      </c>
      <c r="S50" s="60">
        <f t="shared" si="5"/>
        <v>1197.4000000000001</v>
      </c>
      <c r="T50" s="60">
        <f t="shared" si="5"/>
        <v>1197.4000000000001</v>
      </c>
      <c r="U50" s="60">
        <f t="shared" si="5"/>
        <v>1204.4000000000001</v>
      </c>
      <c r="V50" s="60">
        <f t="shared" si="5"/>
        <v>1150.7</v>
      </c>
      <c r="W50" s="60">
        <f t="shared" si="5"/>
        <v>1155.7</v>
      </c>
      <c r="X50" s="60">
        <f t="shared" si="5"/>
        <v>1157.7</v>
      </c>
      <c r="Y50" s="60">
        <f t="shared" si="5"/>
        <v>1064.3</v>
      </c>
      <c r="Z50" s="60">
        <f t="shared" si="5"/>
        <v>1198.3000000000002</v>
      </c>
      <c r="AA50" s="60">
        <f t="shared" si="5"/>
        <v>1198.3000000000002</v>
      </c>
      <c r="AB50" s="60">
        <f t="shared" si="5"/>
        <v>1198.3000000000002</v>
      </c>
      <c r="AC50" s="60">
        <f t="shared" si="5"/>
        <v>1192.3000000000002</v>
      </c>
      <c r="AD50" s="60">
        <f t="shared" si="5"/>
        <v>1187.9000000000001</v>
      </c>
      <c r="AE50" s="60">
        <f t="shared" si="5"/>
        <v>1146.9000000000001</v>
      </c>
      <c r="AF50" s="60">
        <f t="shared" si="5"/>
        <v>1145.9000000000001</v>
      </c>
      <c r="AG50" s="61">
        <f>SUM(AG13:AG48)</f>
        <v>922.14</v>
      </c>
      <c r="AH50" s="47">
        <f t="shared" si="2"/>
        <v>1204.4000000000001</v>
      </c>
      <c r="AI50" s="48">
        <f t="shared" si="3"/>
        <v>1064.3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22.2</v>
      </c>
      <c r="C53" s="66">
        <v>22.2</v>
      </c>
      <c r="D53" s="66">
        <v>22.2</v>
      </c>
      <c r="E53" s="66">
        <v>22.2</v>
      </c>
      <c r="F53" s="66">
        <v>22.2</v>
      </c>
      <c r="G53" s="66">
        <v>22.2</v>
      </c>
      <c r="H53" s="66">
        <v>22.2</v>
      </c>
      <c r="I53" s="66">
        <v>22.2</v>
      </c>
      <c r="J53" s="66">
        <v>22.2</v>
      </c>
      <c r="K53" s="66">
        <v>22.2</v>
      </c>
      <c r="L53" s="66">
        <v>22.2</v>
      </c>
      <c r="M53" s="66">
        <v>22.2</v>
      </c>
      <c r="N53" s="66">
        <v>22.2</v>
      </c>
      <c r="O53" s="66">
        <v>22.2</v>
      </c>
      <c r="P53" s="66">
        <v>22.2</v>
      </c>
      <c r="Q53" s="66">
        <v>22.2</v>
      </c>
      <c r="R53" s="66">
        <v>22.2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22.2</v>
      </c>
      <c r="AK53" s="50"/>
    </row>
    <row r="54" spans="1:41" ht="15.75" thickBot="1" x14ac:dyDescent="0.3">
      <c r="A54" s="68" t="s">
        <v>62</v>
      </c>
      <c r="B54" s="60">
        <f>SUM(B51:B53)</f>
        <v>538.20000000000005</v>
      </c>
      <c r="C54" s="60">
        <f>SUM(C51:C53)</f>
        <v>538.20000000000005</v>
      </c>
      <c r="D54" s="60">
        <f>SUM(D51:D53)</f>
        <v>538.20000000000005</v>
      </c>
      <c r="E54" s="60">
        <f t="shared" ref="E54:AG54" si="6">SUM(E51:E53)</f>
        <v>538.20000000000005</v>
      </c>
      <c r="F54" s="60">
        <f t="shared" si="6"/>
        <v>538.20000000000005</v>
      </c>
      <c r="G54" s="60">
        <f t="shared" si="6"/>
        <v>538.20000000000005</v>
      </c>
      <c r="H54" s="60">
        <f t="shared" si="6"/>
        <v>538.20000000000005</v>
      </c>
      <c r="I54" s="60">
        <f t="shared" si="6"/>
        <v>538.20000000000005</v>
      </c>
      <c r="J54" s="60">
        <f t="shared" si="6"/>
        <v>538.20000000000005</v>
      </c>
      <c r="K54" s="60">
        <f t="shared" si="6"/>
        <v>538.20000000000005</v>
      </c>
      <c r="L54" s="60">
        <f t="shared" si="6"/>
        <v>538.20000000000005</v>
      </c>
      <c r="M54" s="60">
        <f t="shared" si="6"/>
        <v>538.20000000000005</v>
      </c>
      <c r="N54" s="60">
        <f t="shared" si="6"/>
        <v>538.20000000000005</v>
      </c>
      <c r="O54" s="60">
        <f t="shared" si="6"/>
        <v>538.20000000000005</v>
      </c>
      <c r="P54" s="60">
        <f t="shared" si="6"/>
        <v>538.20000000000005</v>
      </c>
      <c r="Q54" s="60">
        <f>SUM(Q51:Q53)</f>
        <v>538.20000000000005</v>
      </c>
      <c r="R54" s="60">
        <f>SUM(R51:R53)</f>
        <v>538.20000000000005</v>
      </c>
      <c r="S54" s="60">
        <f t="shared" si="6"/>
        <v>538.4</v>
      </c>
      <c r="T54" s="60">
        <f t="shared" si="6"/>
        <v>538.4</v>
      </c>
      <c r="U54" s="60">
        <f t="shared" si="6"/>
        <v>538.4</v>
      </c>
      <c r="V54" s="60">
        <f t="shared" si="6"/>
        <v>538.4</v>
      </c>
      <c r="W54" s="60">
        <f t="shared" si="6"/>
        <v>538.4</v>
      </c>
      <c r="X54" s="60">
        <f t="shared" si="6"/>
        <v>538.4</v>
      </c>
      <c r="Y54" s="60">
        <f t="shared" si="6"/>
        <v>538.4</v>
      </c>
      <c r="Z54" s="60">
        <f t="shared" si="6"/>
        <v>538.4</v>
      </c>
      <c r="AA54" s="60">
        <f t="shared" si="6"/>
        <v>538.4</v>
      </c>
      <c r="AB54" s="60">
        <f t="shared" si="6"/>
        <v>538.4</v>
      </c>
      <c r="AC54" s="60">
        <f t="shared" si="6"/>
        <v>538.4</v>
      </c>
      <c r="AD54" s="60">
        <f t="shared" si="6"/>
        <v>538.4</v>
      </c>
      <c r="AE54" s="60">
        <f t="shared" si="6"/>
        <v>538.4</v>
      </c>
      <c r="AF54" s="60">
        <f t="shared" si="6"/>
        <v>538.4</v>
      </c>
      <c r="AG54" s="61">
        <f t="shared" si="6"/>
        <v>538.1</v>
      </c>
      <c r="AH54" s="47">
        <f t="shared" si="2"/>
        <v>538.4</v>
      </c>
      <c r="AI54" s="48">
        <f t="shared" si="3"/>
        <v>538.20000000000005</v>
      </c>
      <c r="AK54" s="50"/>
    </row>
    <row r="55" spans="1:41" x14ac:dyDescent="0.25">
      <c r="A55" s="44" t="s">
        <v>63</v>
      </c>
      <c r="B55" s="45">
        <v>145.69999999999999</v>
      </c>
      <c r="C55" s="45">
        <v>145.6</v>
      </c>
      <c r="D55" s="45">
        <v>145.19999999999999</v>
      </c>
      <c r="E55" s="45">
        <v>145.4</v>
      </c>
      <c r="F55" s="45">
        <v>145.69999999999999</v>
      </c>
      <c r="G55" s="45">
        <v>145.19999999999999</v>
      </c>
      <c r="H55" s="45">
        <v>145.30000000000001</v>
      </c>
      <c r="I55" s="45">
        <v>145.6</v>
      </c>
      <c r="J55" s="45">
        <v>145.6</v>
      </c>
      <c r="K55" s="45">
        <v>145.6</v>
      </c>
      <c r="L55" s="45">
        <v>145.6</v>
      </c>
      <c r="M55" s="45">
        <v>145.6</v>
      </c>
      <c r="N55" s="45">
        <v>145.6</v>
      </c>
      <c r="O55" s="45">
        <v>145.6</v>
      </c>
      <c r="P55" s="45">
        <v>145.6</v>
      </c>
      <c r="Q55" s="45">
        <v>145.6</v>
      </c>
      <c r="R55" s="45">
        <v>145.6</v>
      </c>
      <c r="S55" s="45">
        <v>145.6</v>
      </c>
      <c r="T55" s="45">
        <v>145.6</v>
      </c>
      <c r="U55" s="45">
        <v>144.5</v>
      </c>
      <c r="V55" s="45">
        <v>144.5</v>
      </c>
      <c r="W55" s="45">
        <v>144.5</v>
      </c>
      <c r="X55" s="45">
        <v>144.5</v>
      </c>
      <c r="Y55" s="45">
        <v>0</v>
      </c>
      <c r="Z55" s="45">
        <v>142.4</v>
      </c>
      <c r="AA55" s="45">
        <v>142.4</v>
      </c>
      <c r="AB55" s="45">
        <v>142.4</v>
      </c>
      <c r="AC55" s="45">
        <v>142.4</v>
      </c>
      <c r="AD55" s="45">
        <v>142.4</v>
      </c>
      <c r="AE55" s="45">
        <v>142.4</v>
      </c>
      <c r="AF55" s="45">
        <v>142.4</v>
      </c>
      <c r="AG55" s="51">
        <v>144</v>
      </c>
      <c r="AH55" s="47">
        <f t="shared" si="2"/>
        <v>145.69999999999999</v>
      </c>
      <c r="AI55" s="48">
        <f t="shared" si="3"/>
        <v>0</v>
      </c>
      <c r="AK55" s="50"/>
    </row>
    <row r="56" spans="1:41" x14ac:dyDescent="0.25">
      <c r="A56" s="53" t="s">
        <v>64</v>
      </c>
      <c r="B56" s="45">
        <v>69</v>
      </c>
      <c r="C56" s="45">
        <v>68.7</v>
      </c>
      <c r="D56" s="45">
        <v>68.7</v>
      </c>
      <c r="E56" s="45">
        <v>68.3</v>
      </c>
      <c r="F56" s="64">
        <v>69.7</v>
      </c>
      <c r="G56" s="64">
        <v>70.3</v>
      </c>
      <c r="H56" s="64">
        <v>69.3</v>
      </c>
      <c r="I56" s="64">
        <v>69.3</v>
      </c>
      <c r="J56" s="64">
        <v>69.3</v>
      </c>
      <c r="K56" s="64">
        <v>69.3</v>
      </c>
      <c r="L56" s="64">
        <v>70.8</v>
      </c>
      <c r="M56" s="64">
        <v>70.8</v>
      </c>
      <c r="N56" s="64">
        <v>70.8</v>
      </c>
      <c r="O56" s="64">
        <v>70.8</v>
      </c>
      <c r="P56" s="64">
        <v>70.8</v>
      </c>
      <c r="Q56" s="64">
        <v>70.8</v>
      </c>
      <c r="R56" s="64">
        <v>70.8</v>
      </c>
      <c r="S56" s="64">
        <v>70.8</v>
      </c>
      <c r="T56" s="64">
        <v>70.8</v>
      </c>
      <c r="U56" s="64">
        <v>70.099999999999994</v>
      </c>
      <c r="V56" s="64">
        <v>70.099999999999994</v>
      </c>
      <c r="W56" s="64">
        <v>70.099999999999994</v>
      </c>
      <c r="X56" s="64">
        <v>70.099999999999994</v>
      </c>
      <c r="Y56" s="45">
        <v>71</v>
      </c>
      <c r="Z56" s="45">
        <v>70.2</v>
      </c>
      <c r="AA56" s="45">
        <v>70.2</v>
      </c>
      <c r="AB56" s="45">
        <v>70.2</v>
      </c>
      <c r="AC56" s="45">
        <v>70.2</v>
      </c>
      <c r="AD56" s="45">
        <v>70.2</v>
      </c>
      <c r="AE56" s="45">
        <v>70.2</v>
      </c>
      <c r="AF56" s="45">
        <v>70.2</v>
      </c>
      <c r="AG56" s="54">
        <v>70</v>
      </c>
      <c r="AH56" s="47">
        <f t="shared" si="2"/>
        <v>71</v>
      </c>
      <c r="AI56" s="48">
        <f t="shared" si="3"/>
        <v>68.3</v>
      </c>
      <c r="AK56" s="50"/>
    </row>
    <row r="57" spans="1:41" x14ac:dyDescent="0.25">
      <c r="A57" s="53" t="s">
        <v>65</v>
      </c>
      <c r="B57" s="45">
        <v>66.900000000000006</v>
      </c>
      <c r="C57" s="45">
        <v>66.5</v>
      </c>
      <c r="D57" s="45">
        <v>66.3</v>
      </c>
      <c r="E57" s="45">
        <v>66.099999999999994</v>
      </c>
      <c r="F57" s="64">
        <v>65.900000000000006</v>
      </c>
      <c r="G57" s="64">
        <v>66.099999999999994</v>
      </c>
      <c r="H57" s="64">
        <v>66.099999999999994</v>
      </c>
      <c r="I57" s="64">
        <v>66.099999999999994</v>
      </c>
      <c r="J57" s="64">
        <v>66.099999999999994</v>
      </c>
      <c r="K57" s="64">
        <v>66.099999999999994</v>
      </c>
      <c r="L57" s="64">
        <v>66.099999999999994</v>
      </c>
      <c r="M57" s="64">
        <v>66.099999999999994</v>
      </c>
      <c r="N57" s="64">
        <v>66.099999999999994</v>
      </c>
      <c r="O57" s="64">
        <v>66.099999999999994</v>
      </c>
      <c r="P57" s="64">
        <v>66.099999999999994</v>
      </c>
      <c r="Q57" s="64">
        <v>66.099999999999994</v>
      </c>
      <c r="R57" s="64">
        <v>66.099999999999994</v>
      </c>
      <c r="S57" s="64">
        <v>66.099999999999994</v>
      </c>
      <c r="T57" s="64">
        <v>66.099999999999994</v>
      </c>
      <c r="U57" s="64">
        <v>66.2</v>
      </c>
      <c r="V57" s="64">
        <v>66.2</v>
      </c>
      <c r="W57" s="64">
        <v>66.2</v>
      </c>
      <c r="X57" s="64">
        <v>66.2</v>
      </c>
      <c r="Y57" s="45">
        <v>66</v>
      </c>
      <c r="Z57" s="45">
        <v>65.7</v>
      </c>
      <c r="AA57" s="45">
        <v>65.7</v>
      </c>
      <c r="AB57" s="45">
        <v>65.7</v>
      </c>
      <c r="AC57" s="45">
        <v>65.7</v>
      </c>
      <c r="AD57" s="45">
        <v>65.7</v>
      </c>
      <c r="AE57" s="45">
        <v>54</v>
      </c>
      <c r="AF57" s="45">
        <v>65.3</v>
      </c>
      <c r="AG57" s="54">
        <v>69</v>
      </c>
      <c r="AH57" s="47">
        <f t="shared" si="2"/>
        <v>66.900000000000006</v>
      </c>
      <c r="AI57" s="48">
        <f t="shared" si="3"/>
        <v>54</v>
      </c>
      <c r="AK57" s="50"/>
    </row>
    <row r="58" spans="1:41" x14ac:dyDescent="0.25">
      <c r="A58" s="53" t="s">
        <v>66</v>
      </c>
      <c r="B58" s="45">
        <v>60.7</v>
      </c>
      <c r="C58" s="45">
        <v>60.7</v>
      </c>
      <c r="D58" s="45">
        <v>60.7</v>
      </c>
      <c r="E58" s="45">
        <v>60.7</v>
      </c>
      <c r="F58" s="56">
        <v>60.4</v>
      </c>
      <c r="G58" s="56">
        <v>61.2</v>
      </c>
      <c r="H58" s="56">
        <v>60.9</v>
      </c>
      <c r="I58" s="56">
        <v>60.9</v>
      </c>
      <c r="J58" s="56">
        <v>60.9</v>
      </c>
      <c r="K58" s="56">
        <v>60.9</v>
      </c>
      <c r="L58" s="56">
        <v>61.2</v>
      </c>
      <c r="M58" s="56">
        <v>61.2</v>
      </c>
      <c r="N58" s="56">
        <v>61.2</v>
      </c>
      <c r="O58" s="56">
        <v>61.2</v>
      </c>
      <c r="P58" s="56">
        <v>61.2</v>
      </c>
      <c r="Q58" s="56">
        <v>61.2</v>
      </c>
      <c r="R58" s="56">
        <v>61.2</v>
      </c>
      <c r="S58" s="56">
        <v>61.2</v>
      </c>
      <c r="T58" s="56">
        <v>61.2</v>
      </c>
      <c r="U58" s="56">
        <v>59.7</v>
      </c>
      <c r="V58" s="56">
        <v>59.7</v>
      </c>
      <c r="W58" s="56">
        <v>59.7</v>
      </c>
      <c r="X58" s="56">
        <v>59.7</v>
      </c>
      <c r="Y58" s="45">
        <v>60.2</v>
      </c>
      <c r="Z58" s="45">
        <v>60</v>
      </c>
      <c r="AA58" s="45">
        <v>60</v>
      </c>
      <c r="AB58" s="45">
        <v>60</v>
      </c>
      <c r="AC58" s="45">
        <v>60</v>
      </c>
      <c r="AD58" s="45">
        <v>60</v>
      </c>
      <c r="AE58" s="45">
        <v>60</v>
      </c>
      <c r="AF58" s="45">
        <v>60</v>
      </c>
      <c r="AG58" s="54">
        <v>60</v>
      </c>
      <c r="AH58" s="47">
        <f t="shared" si="2"/>
        <v>61.2</v>
      </c>
      <c r="AI58" s="48">
        <f t="shared" si="3"/>
        <v>59.7</v>
      </c>
      <c r="AK58" s="50"/>
    </row>
    <row r="59" spans="1:41" x14ac:dyDescent="0.25">
      <c r="A59" s="53" t="s">
        <v>67</v>
      </c>
      <c r="B59" s="45">
        <v>26</v>
      </c>
      <c r="C59" s="45">
        <v>26</v>
      </c>
      <c r="D59" s="45">
        <v>26</v>
      </c>
      <c r="E59" s="45">
        <v>26</v>
      </c>
      <c r="F59" s="45">
        <v>26</v>
      </c>
      <c r="G59" s="45">
        <v>26</v>
      </c>
      <c r="H59" s="56">
        <v>26</v>
      </c>
      <c r="I59" s="56">
        <v>26</v>
      </c>
      <c r="J59" s="56">
        <v>26</v>
      </c>
      <c r="K59" s="56">
        <v>26</v>
      </c>
      <c r="L59" s="56">
        <v>29</v>
      </c>
      <c r="M59" s="56">
        <v>29</v>
      </c>
      <c r="N59" s="56">
        <v>29</v>
      </c>
      <c r="O59" s="56">
        <v>29</v>
      </c>
      <c r="P59" s="56">
        <v>29</v>
      </c>
      <c r="Q59" s="56">
        <v>29</v>
      </c>
      <c r="R59" s="56">
        <v>29</v>
      </c>
      <c r="S59" s="45">
        <v>13</v>
      </c>
      <c r="T59" s="45">
        <v>13</v>
      </c>
      <c r="U59" s="45">
        <v>13</v>
      </c>
      <c r="V59" s="45">
        <v>13</v>
      </c>
      <c r="W59" s="45">
        <v>13</v>
      </c>
      <c r="X59" s="45">
        <v>13</v>
      </c>
      <c r="Y59" s="45">
        <v>28</v>
      </c>
      <c r="Z59" s="45">
        <v>28</v>
      </c>
      <c r="AA59" s="45">
        <v>28</v>
      </c>
      <c r="AB59" s="45">
        <v>28</v>
      </c>
      <c r="AC59" s="45">
        <v>28</v>
      </c>
      <c r="AD59" s="45">
        <v>28</v>
      </c>
      <c r="AE59" s="45">
        <v>28</v>
      </c>
      <c r="AF59" s="45">
        <v>28</v>
      </c>
      <c r="AG59" s="54">
        <v>30</v>
      </c>
      <c r="AH59" s="47">
        <f t="shared" si="2"/>
        <v>29</v>
      </c>
      <c r="AI59" s="48">
        <f t="shared" si="3"/>
        <v>13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13.9</v>
      </c>
      <c r="T60" s="45">
        <v>10.3</v>
      </c>
      <c r="U60" s="45">
        <v>4.2</v>
      </c>
      <c r="V60" s="45">
        <v>0.6</v>
      </c>
      <c r="W60" s="45">
        <v>0.2</v>
      </c>
      <c r="X60" s="45">
        <v>0.2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13.9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4</v>
      </c>
      <c r="C62" s="64">
        <v>4</v>
      </c>
      <c r="D62" s="64">
        <v>4</v>
      </c>
      <c r="E62" s="64">
        <v>4</v>
      </c>
      <c r="F62" s="64">
        <v>4</v>
      </c>
      <c r="G62" s="64">
        <v>4</v>
      </c>
      <c r="H62" s="64">
        <v>4</v>
      </c>
      <c r="I62" s="64">
        <v>4</v>
      </c>
      <c r="J62" s="64">
        <v>4</v>
      </c>
      <c r="K62" s="64">
        <v>4</v>
      </c>
      <c r="L62" s="64">
        <v>4</v>
      </c>
      <c r="M62" s="64">
        <v>4</v>
      </c>
      <c r="N62" s="64">
        <v>4</v>
      </c>
      <c r="O62" s="64">
        <v>4</v>
      </c>
      <c r="P62" s="64">
        <v>4</v>
      </c>
      <c r="Q62" s="64">
        <v>4</v>
      </c>
      <c r="R62" s="64">
        <v>4</v>
      </c>
      <c r="S62" s="64">
        <v>4</v>
      </c>
      <c r="T62" s="64">
        <v>4</v>
      </c>
      <c r="U62" s="64">
        <v>4</v>
      </c>
      <c r="V62" s="64">
        <v>4</v>
      </c>
      <c r="W62" s="64">
        <v>4</v>
      </c>
      <c r="X62" s="64">
        <v>4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4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8.6999999999999993</v>
      </c>
      <c r="C63" s="64">
        <v>8.6999999999999993</v>
      </c>
      <c r="D63" s="64">
        <v>8.8000000000000007</v>
      </c>
      <c r="E63" s="64">
        <v>8.8000000000000007</v>
      </c>
      <c r="F63" s="64">
        <v>8.8000000000000007</v>
      </c>
      <c r="G63" s="64">
        <v>8.8000000000000007</v>
      </c>
      <c r="H63" s="64">
        <v>8.8000000000000007</v>
      </c>
      <c r="I63" s="64">
        <v>9.4</v>
      </c>
      <c r="J63" s="64">
        <v>9.4</v>
      </c>
      <c r="K63" s="64">
        <v>9.4</v>
      </c>
      <c r="L63" s="64">
        <v>9.4</v>
      </c>
      <c r="M63" s="64">
        <v>9.4</v>
      </c>
      <c r="N63" s="64">
        <v>9.4</v>
      </c>
      <c r="O63" s="64">
        <v>9.4</v>
      </c>
      <c r="P63" s="64">
        <v>9.4</v>
      </c>
      <c r="Q63" s="64">
        <v>9.4</v>
      </c>
      <c r="R63" s="64">
        <v>9.4</v>
      </c>
      <c r="S63" s="64">
        <v>9.4</v>
      </c>
      <c r="T63" s="64">
        <v>9.4</v>
      </c>
      <c r="U63" s="64">
        <v>9.4</v>
      </c>
      <c r="V63" s="64">
        <v>9.4</v>
      </c>
      <c r="W63" s="64">
        <v>9.4</v>
      </c>
      <c r="X63" s="64">
        <v>9.4</v>
      </c>
      <c r="Y63" s="64">
        <v>8.5</v>
      </c>
      <c r="Z63" s="64">
        <v>8.5</v>
      </c>
      <c r="AA63" s="64">
        <v>8.5</v>
      </c>
      <c r="AB63" s="64">
        <v>8.5</v>
      </c>
      <c r="AC63" s="64">
        <v>8.5</v>
      </c>
      <c r="AD63" s="64">
        <v>8.5</v>
      </c>
      <c r="AE63" s="64">
        <v>8.5</v>
      </c>
      <c r="AF63" s="64">
        <v>8.5</v>
      </c>
      <c r="AG63" s="54">
        <v>14.1</v>
      </c>
      <c r="AH63" s="47">
        <f t="shared" si="2"/>
        <v>9.4</v>
      </c>
      <c r="AI63" s="48">
        <f t="shared" si="3"/>
        <v>8.5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13.7</v>
      </c>
      <c r="C64" s="64">
        <v>13.7</v>
      </c>
      <c r="D64" s="64">
        <v>13.8</v>
      </c>
      <c r="E64" s="64">
        <v>13.8</v>
      </c>
      <c r="F64" s="64">
        <v>13.8</v>
      </c>
      <c r="G64" s="64">
        <v>13.8</v>
      </c>
      <c r="H64" s="64">
        <v>5.5</v>
      </c>
      <c r="I64" s="64">
        <v>14.1</v>
      </c>
      <c r="J64" s="64">
        <v>14.1</v>
      </c>
      <c r="K64" s="64">
        <v>14.1</v>
      </c>
      <c r="L64" s="64">
        <v>14</v>
      </c>
      <c r="M64" s="64">
        <v>14</v>
      </c>
      <c r="N64" s="64">
        <v>14</v>
      </c>
      <c r="O64" s="64">
        <v>14</v>
      </c>
      <c r="P64" s="64">
        <v>14</v>
      </c>
      <c r="Q64" s="64">
        <v>14</v>
      </c>
      <c r="R64" s="64">
        <v>14</v>
      </c>
      <c r="S64" s="64">
        <v>0</v>
      </c>
      <c r="T64" s="64">
        <v>0</v>
      </c>
      <c r="U64" s="64">
        <v>0</v>
      </c>
      <c r="V64" s="64">
        <v>5</v>
      </c>
      <c r="W64" s="64">
        <v>14</v>
      </c>
      <c r="X64" s="64">
        <v>14</v>
      </c>
      <c r="Y64" s="64">
        <v>0</v>
      </c>
      <c r="Z64" s="64">
        <v>11.9</v>
      </c>
      <c r="AA64" s="64">
        <v>12</v>
      </c>
      <c r="AB64" s="64">
        <v>12</v>
      </c>
      <c r="AC64" s="64">
        <v>12</v>
      </c>
      <c r="AD64" s="64">
        <v>12</v>
      </c>
      <c r="AE64" s="64">
        <v>12</v>
      </c>
      <c r="AF64" s="64">
        <v>12</v>
      </c>
      <c r="AG64" s="54">
        <v>14</v>
      </c>
      <c r="AH64" s="47">
        <f t="shared" si="2"/>
        <v>14.1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>SUM(B55:B67)</f>
        <v>428.44</v>
      </c>
      <c r="C68" s="60">
        <f>SUM(C55:C67)</f>
        <v>427.64</v>
      </c>
      <c r="D68" s="60">
        <f>SUM(D55:D67)</f>
        <v>427.24</v>
      </c>
      <c r="E68" s="60">
        <f t="shared" ref="E68:AG68" si="7">SUM(E55:E67)</f>
        <v>426.84</v>
      </c>
      <c r="F68" s="60">
        <f t="shared" si="7"/>
        <v>428.03999999999996</v>
      </c>
      <c r="G68" s="60">
        <f t="shared" si="7"/>
        <v>429.14000000000004</v>
      </c>
      <c r="H68" s="60">
        <f t="shared" si="7"/>
        <v>419.64000000000004</v>
      </c>
      <c r="I68" s="60">
        <f t="shared" si="7"/>
        <v>429.14</v>
      </c>
      <c r="J68" s="60">
        <f t="shared" si="7"/>
        <v>429.14</v>
      </c>
      <c r="K68" s="60">
        <f t="shared" si="7"/>
        <v>429.14</v>
      </c>
      <c r="L68" s="60">
        <f t="shared" si="7"/>
        <v>433.84</v>
      </c>
      <c r="M68" s="60">
        <f t="shared" si="7"/>
        <v>433.84</v>
      </c>
      <c r="N68" s="60">
        <f t="shared" si="7"/>
        <v>433.84</v>
      </c>
      <c r="O68" s="60">
        <f t="shared" si="7"/>
        <v>433.84</v>
      </c>
      <c r="P68" s="60">
        <f t="shared" si="7"/>
        <v>433.84</v>
      </c>
      <c r="Q68" s="60">
        <f>SUM(Q55:Q67)</f>
        <v>433.84</v>
      </c>
      <c r="R68" s="60">
        <f>SUM(R55:R67)</f>
        <v>433.84</v>
      </c>
      <c r="S68" s="60">
        <f t="shared" si="7"/>
        <v>417.73999999999995</v>
      </c>
      <c r="T68" s="60">
        <f t="shared" si="7"/>
        <v>414.14</v>
      </c>
      <c r="U68" s="60">
        <f t="shared" si="7"/>
        <v>404.84</v>
      </c>
      <c r="V68" s="60">
        <f t="shared" si="7"/>
        <v>406.24</v>
      </c>
      <c r="W68" s="60">
        <f t="shared" si="7"/>
        <v>414.84</v>
      </c>
      <c r="X68" s="60">
        <f t="shared" si="7"/>
        <v>414.84</v>
      </c>
      <c r="Y68" s="60">
        <f t="shared" si="7"/>
        <v>272.44</v>
      </c>
      <c r="Z68" s="60">
        <f t="shared" si="7"/>
        <v>425.44</v>
      </c>
      <c r="AA68" s="60">
        <f t="shared" si="7"/>
        <v>425.54</v>
      </c>
      <c r="AB68" s="60">
        <f t="shared" si="7"/>
        <v>425.54</v>
      </c>
      <c r="AC68" s="60">
        <f t="shared" si="7"/>
        <v>425.54</v>
      </c>
      <c r="AD68" s="60">
        <f t="shared" si="7"/>
        <v>425.54</v>
      </c>
      <c r="AE68" s="60">
        <f t="shared" si="7"/>
        <v>413.84000000000003</v>
      </c>
      <c r="AF68" s="60">
        <f t="shared" si="7"/>
        <v>425.14000000000004</v>
      </c>
      <c r="AG68" s="61">
        <f t="shared" si="7"/>
        <v>489.91</v>
      </c>
      <c r="AH68" s="47">
        <f t="shared" si="2"/>
        <v>433.84</v>
      </c>
      <c r="AI68" s="48">
        <f t="shared" si="3"/>
        <v>272.44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30</v>
      </c>
      <c r="Y69" s="45">
        <v>60</v>
      </c>
      <c r="Z69" s="45">
        <v>30</v>
      </c>
      <c r="AA69" s="45">
        <v>20</v>
      </c>
      <c r="AB69" s="45">
        <v>0</v>
      </c>
      <c r="AC69" s="45">
        <v>30</v>
      </c>
      <c r="AD69" s="45">
        <v>10</v>
      </c>
      <c r="AE69" s="45">
        <v>0</v>
      </c>
      <c r="AF69" s="45"/>
      <c r="AG69" s="51">
        <v>60</v>
      </c>
      <c r="AH69" s="47">
        <f t="shared" si="2"/>
        <v>60</v>
      </c>
      <c r="AI69" s="48">
        <f t="shared" si="3"/>
        <v>0</v>
      </c>
      <c r="AK69" s="50"/>
    </row>
    <row r="70" spans="1:40" x14ac:dyDescent="0.25">
      <c r="A70" s="53" t="s">
        <v>78</v>
      </c>
      <c r="B70" s="64">
        <v>0</v>
      </c>
      <c r="C70" s="64">
        <v>0</v>
      </c>
      <c r="D70" s="64">
        <v>0</v>
      </c>
      <c r="E70" s="64"/>
      <c r="F70" s="64"/>
      <c r="G70" s="64"/>
      <c r="H70" s="64"/>
      <c r="I70" s="64"/>
      <c r="J70" s="64">
        <v>4.9000000000000004</v>
      </c>
      <c r="K70" s="64"/>
      <c r="L70" s="64"/>
      <c r="M70" s="64"/>
      <c r="N70" s="64"/>
      <c r="O70" s="64"/>
      <c r="P70" s="64"/>
      <c r="Q70" s="64"/>
      <c r="R70" s="64"/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10.1</v>
      </c>
      <c r="Y70" s="64">
        <v>0</v>
      </c>
      <c r="Z70" s="64">
        <v>14.8</v>
      </c>
      <c r="AA70" s="64">
        <v>12.8</v>
      </c>
      <c r="AB70" s="64">
        <v>9</v>
      </c>
      <c r="AC70" s="64">
        <v>12.1</v>
      </c>
      <c r="AD70" s="64">
        <v>7</v>
      </c>
      <c r="AE70" s="64">
        <v>0</v>
      </c>
      <c r="AF70" s="64"/>
      <c r="AG70" s="54">
        <v>32</v>
      </c>
      <c r="AH70" s="47">
        <f t="shared" si="2"/>
        <v>14.8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>
        <v>0</v>
      </c>
      <c r="C71" s="66">
        <v>0</v>
      </c>
      <c r="D71" s="66">
        <v>0</v>
      </c>
      <c r="E71" s="66"/>
      <c r="F71" s="66"/>
      <c r="G71" s="66"/>
      <c r="H71" s="66"/>
      <c r="I71" s="66"/>
      <c r="J71" s="66">
        <v>1.8</v>
      </c>
      <c r="K71" s="66"/>
      <c r="L71" s="66"/>
      <c r="M71" s="66"/>
      <c r="N71" s="66"/>
      <c r="O71" s="66"/>
      <c r="P71" s="66"/>
      <c r="Q71" s="66"/>
      <c r="R71" s="66"/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3.7</v>
      </c>
      <c r="Y71" s="66">
        <v>0</v>
      </c>
      <c r="Z71" s="66">
        <v>5.4</v>
      </c>
      <c r="AA71" s="66">
        <v>4.7</v>
      </c>
      <c r="AB71" s="66">
        <v>4</v>
      </c>
      <c r="AC71" s="66">
        <v>4.4000000000000004</v>
      </c>
      <c r="AD71" s="66">
        <v>2.6</v>
      </c>
      <c r="AE71" s="66">
        <v>0</v>
      </c>
      <c r="AF71" s="66"/>
      <c r="AG71" s="67">
        <v>14</v>
      </c>
      <c r="AH71" s="47">
        <f t="shared" si="2"/>
        <v>5.4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f>C69+C70+C71</f>
        <v>0</v>
      </c>
      <c r="D72" s="60">
        <f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0</v>
      </c>
      <c r="P72" s="60">
        <f t="shared" si="8"/>
        <v>0</v>
      </c>
      <c r="Q72" s="60">
        <f>Q69+Q70+Q71</f>
        <v>0</v>
      </c>
      <c r="R72" s="60">
        <f>R69+R70+R71</f>
        <v>0</v>
      </c>
      <c r="S72" s="60">
        <f t="shared" si="8"/>
        <v>0</v>
      </c>
      <c r="T72" s="60">
        <f t="shared" si="8"/>
        <v>0</v>
      </c>
      <c r="U72" s="60">
        <f t="shared" si="8"/>
        <v>0</v>
      </c>
      <c r="V72" s="60">
        <f t="shared" si="8"/>
        <v>0</v>
      </c>
      <c r="W72" s="60">
        <f t="shared" si="8"/>
        <v>0</v>
      </c>
      <c r="X72" s="60">
        <f t="shared" si="8"/>
        <v>43.800000000000004</v>
      </c>
      <c r="Y72" s="60">
        <f t="shared" si="8"/>
        <v>60</v>
      </c>
      <c r="Z72" s="60">
        <f t="shared" si="8"/>
        <v>50.199999999999996</v>
      </c>
      <c r="AA72" s="60">
        <f t="shared" si="8"/>
        <v>37.5</v>
      </c>
      <c r="AB72" s="60">
        <f t="shared" si="8"/>
        <v>13</v>
      </c>
      <c r="AC72" s="60">
        <f t="shared" si="8"/>
        <v>46.5</v>
      </c>
      <c r="AD72" s="60">
        <f t="shared" si="8"/>
        <v>19.600000000000001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60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-67.3</v>
      </c>
      <c r="C73" s="45">
        <v>-66.900000000000006</v>
      </c>
      <c r="D73" s="45">
        <v>-67.099999999999994</v>
      </c>
      <c r="E73" s="45">
        <v>-68.900000000000006</v>
      </c>
      <c r="F73" s="45">
        <v>-70</v>
      </c>
      <c r="G73" s="45">
        <v>-68</v>
      </c>
      <c r="H73" s="45">
        <v>-67</v>
      </c>
      <c r="I73" s="45">
        <v>-61</v>
      </c>
      <c r="J73" s="45">
        <v>-64</v>
      </c>
      <c r="K73" s="45">
        <v>-62</v>
      </c>
      <c r="L73" s="45">
        <v>-41</v>
      </c>
      <c r="M73" s="45">
        <v>-67</v>
      </c>
      <c r="N73" s="45">
        <v>-66</v>
      </c>
      <c r="O73" s="45">
        <v>-60</v>
      </c>
      <c r="P73" s="45">
        <v>-56</v>
      </c>
      <c r="Q73" s="45">
        <v>-56</v>
      </c>
      <c r="R73" s="45">
        <v>-40</v>
      </c>
      <c r="S73" s="45">
        <v>-27.9</v>
      </c>
      <c r="T73" s="45">
        <v>-41.1</v>
      </c>
      <c r="U73" s="45">
        <v>-55.1</v>
      </c>
      <c r="V73" s="45">
        <v>-55.7</v>
      </c>
      <c r="W73" s="45">
        <v>-56.2</v>
      </c>
      <c r="X73" s="45">
        <v>-62.3</v>
      </c>
      <c r="Y73" s="45">
        <v>54.5</v>
      </c>
      <c r="Z73" s="45">
        <v>-15.4</v>
      </c>
      <c r="AA73" s="45">
        <v>-6</v>
      </c>
      <c r="AB73" s="45">
        <v>-10</v>
      </c>
      <c r="AC73" s="45">
        <v>-38.700000000000003</v>
      </c>
      <c r="AD73" s="45">
        <v>-39.6</v>
      </c>
      <c r="AE73" s="45">
        <v>-40.799999999999997</v>
      </c>
      <c r="AF73" s="45">
        <v>-64.7</v>
      </c>
      <c r="AG73" s="51"/>
      <c r="AH73" s="47">
        <f t="shared" si="2"/>
        <v>54.5</v>
      </c>
      <c r="AI73" s="48">
        <f t="shared" si="3"/>
        <v>-70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-617</v>
      </c>
      <c r="C75" s="64">
        <v>-598</v>
      </c>
      <c r="D75" s="64">
        <v>-608</v>
      </c>
      <c r="E75" s="64">
        <v>-640.4</v>
      </c>
      <c r="F75" s="64">
        <v>-658</v>
      </c>
      <c r="G75" s="64">
        <v>-628.4</v>
      </c>
      <c r="H75" s="64">
        <v>-636.5</v>
      </c>
      <c r="I75" s="64">
        <v>-628.79999999999995</v>
      </c>
      <c r="J75" s="64">
        <v>-615</v>
      </c>
      <c r="K75" s="64">
        <v>-606.5</v>
      </c>
      <c r="L75" s="64">
        <v>-610.9</v>
      </c>
      <c r="M75" s="64">
        <v>-597</v>
      </c>
      <c r="N75" s="64">
        <v>-643</v>
      </c>
      <c r="O75" s="64">
        <v>-555</v>
      </c>
      <c r="P75" s="64">
        <v>-584</v>
      </c>
      <c r="Q75" s="64">
        <v>-600</v>
      </c>
      <c r="R75" s="64">
        <v>-614</v>
      </c>
      <c r="S75" s="64">
        <v>-597.6</v>
      </c>
      <c r="T75" s="64">
        <v>-581</v>
      </c>
      <c r="U75" s="64">
        <v>-617.5</v>
      </c>
      <c r="V75" s="64">
        <v>-595.70000000000005</v>
      </c>
      <c r="W75" s="64">
        <v>-538.70000000000005</v>
      </c>
      <c r="X75" s="64">
        <v>-485.1</v>
      </c>
      <c r="Y75" s="64">
        <v>-481.2</v>
      </c>
      <c r="Z75" s="64">
        <v>-489.6</v>
      </c>
      <c r="AA75" s="64">
        <v>-483</v>
      </c>
      <c r="AB75" s="64">
        <v>-553</v>
      </c>
      <c r="AC75" s="64">
        <v>-553</v>
      </c>
      <c r="AD75" s="64">
        <v>-579</v>
      </c>
      <c r="AE75" s="64">
        <v>-616</v>
      </c>
      <c r="AF75" s="64">
        <v>-565</v>
      </c>
      <c r="AG75" s="74"/>
      <c r="AH75" s="47">
        <f t="shared" si="2"/>
        <v>-481.2</v>
      </c>
      <c r="AI75" s="48">
        <f t="shared" si="3"/>
        <v>-658</v>
      </c>
      <c r="AK75" s="50"/>
    </row>
    <row r="76" spans="1:40" x14ac:dyDescent="0.25">
      <c r="A76" s="53" t="s">
        <v>84</v>
      </c>
      <c r="B76" s="75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/>
      <c r="AC77" s="45"/>
      <c r="AD77" s="45"/>
      <c r="AE77" s="45"/>
      <c r="AF77" s="45"/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76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/>
      <c r="AC78" s="76"/>
      <c r="AD78" s="76"/>
      <c r="AE78" s="76"/>
      <c r="AF78" s="76"/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76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/>
      <c r="AC79" s="76"/>
      <c r="AD79" s="76"/>
      <c r="AE79" s="76"/>
      <c r="AF79" s="76"/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/>
      <c r="AC80" s="76"/>
      <c r="AD80" s="76"/>
      <c r="AE80" s="76"/>
      <c r="AF80" s="76"/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/>
      <c r="AC81" s="76"/>
      <c r="AD81" s="76"/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/>
      <c r="AC82" s="76"/>
      <c r="AD82" s="76"/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/>
      <c r="AC83" s="76"/>
      <c r="AD83" s="76"/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>SUMIF(B73:B83,"&gt;0")</f>
        <v>0</v>
      </c>
      <c r="C84" s="60">
        <f t="shared" ref="C84:AF84" si="11">SUMIF(C73:C83,"&gt;0")</f>
        <v>0</v>
      </c>
      <c r="D84" s="60">
        <f t="shared" si="11"/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>SUMIF(Q73:Q83,"&gt;0")</f>
        <v>0</v>
      </c>
      <c r="R84" s="60">
        <f>SUMIF(R73:R83,"&gt;0")</f>
        <v>0</v>
      </c>
      <c r="S84" s="60">
        <f t="shared" si="11"/>
        <v>0</v>
      </c>
      <c r="T84" s="60">
        <f t="shared" si="11"/>
        <v>0</v>
      </c>
      <c r="U84" s="60">
        <f t="shared" si="11"/>
        <v>0</v>
      </c>
      <c r="V84" s="60">
        <f t="shared" si="11"/>
        <v>0</v>
      </c>
      <c r="W84" s="60">
        <f t="shared" si="11"/>
        <v>0</v>
      </c>
      <c r="X84" s="60">
        <f t="shared" si="11"/>
        <v>0</v>
      </c>
      <c r="Y84" s="60">
        <f t="shared" si="11"/>
        <v>54.5</v>
      </c>
      <c r="Z84" s="60">
        <f t="shared" si="11"/>
        <v>0</v>
      </c>
      <c r="AA84" s="60">
        <f t="shared" si="11"/>
        <v>0</v>
      </c>
      <c r="AB84" s="60">
        <f t="shared" si="11"/>
        <v>0</v>
      </c>
      <c r="AC84" s="60">
        <f t="shared" si="11"/>
        <v>0</v>
      </c>
      <c r="AD84" s="60">
        <f t="shared" si="11"/>
        <v>0</v>
      </c>
      <c r="AE84" s="60">
        <f t="shared" si="11"/>
        <v>0</v>
      </c>
      <c r="AF84" s="60">
        <f t="shared" si="11"/>
        <v>0</v>
      </c>
      <c r="AG84" s="87">
        <f>SUM(AG73:AG83)</f>
        <v>0</v>
      </c>
      <c r="AH84" s="47">
        <f t="shared" si="9"/>
        <v>54.5</v>
      </c>
      <c r="AI84" s="48">
        <f t="shared" si="10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>B50+B54+B72+B68+B84+B88</f>
        <v>2044.44</v>
      </c>
      <c r="C89" s="94">
        <f t="shared" ref="C89:AG89" si="12">C50+C54+C72+C68+C84+C88</f>
        <v>2043.3400000000001</v>
      </c>
      <c r="D89" s="94">
        <f t="shared" si="12"/>
        <v>2043.54</v>
      </c>
      <c r="E89" s="94">
        <f t="shared" si="12"/>
        <v>2043.1399999999999</v>
      </c>
      <c r="F89" s="94">
        <f t="shared" si="12"/>
        <v>2044.34</v>
      </c>
      <c r="G89" s="94">
        <f t="shared" si="12"/>
        <v>2045.44</v>
      </c>
      <c r="H89" s="94">
        <f t="shared" si="12"/>
        <v>2045.3400000000001</v>
      </c>
      <c r="I89" s="94">
        <f t="shared" si="12"/>
        <v>2049.84</v>
      </c>
      <c r="J89" s="94">
        <f t="shared" si="12"/>
        <v>2115.94</v>
      </c>
      <c r="K89" s="94">
        <f t="shared" si="12"/>
        <v>2137.54</v>
      </c>
      <c r="L89" s="94">
        <f t="shared" si="12"/>
        <v>2135.94</v>
      </c>
      <c r="M89" s="94">
        <f t="shared" si="12"/>
        <v>2141.94</v>
      </c>
      <c r="N89" s="94">
        <f t="shared" si="12"/>
        <v>2151.34</v>
      </c>
      <c r="O89" s="94">
        <f t="shared" si="12"/>
        <v>2146.34</v>
      </c>
      <c r="P89" s="94">
        <f t="shared" si="12"/>
        <v>2146.34</v>
      </c>
      <c r="Q89" s="94">
        <f>Q50+Q54+Q72+Q68+Q84+Q88</f>
        <v>2146.34</v>
      </c>
      <c r="R89" s="94">
        <f>R50+R54+R72+R68+R84+R88</f>
        <v>2161.34</v>
      </c>
      <c r="S89" s="94">
        <f t="shared" si="12"/>
        <v>2153.54</v>
      </c>
      <c r="T89" s="94">
        <f t="shared" si="12"/>
        <v>2149.94</v>
      </c>
      <c r="U89" s="94">
        <f t="shared" si="12"/>
        <v>2147.6400000000003</v>
      </c>
      <c r="V89" s="94">
        <f t="shared" si="12"/>
        <v>2095.34</v>
      </c>
      <c r="W89" s="94">
        <f t="shared" si="12"/>
        <v>2108.94</v>
      </c>
      <c r="X89" s="94">
        <f t="shared" si="12"/>
        <v>2154.7399999999998</v>
      </c>
      <c r="Y89" s="94">
        <f t="shared" si="12"/>
        <v>1989.6399999999999</v>
      </c>
      <c r="Z89" s="94">
        <f t="shared" si="12"/>
        <v>2212.34</v>
      </c>
      <c r="AA89" s="94">
        <f t="shared" si="12"/>
        <v>2199.7400000000002</v>
      </c>
      <c r="AB89" s="94">
        <f t="shared" si="12"/>
        <v>2175.2400000000002</v>
      </c>
      <c r="AC89" s="94">
        <f t="shared" si="12"/>
        <v>2202.7400000000002</v>
      </c>
      <c r="AD89" s="94">
        <f t="shared" si="12"/>
        <v>2171.44</v>
      </c>
      <c r="AE89" s="94">
        <f t="shared" si="12"/>
        <v>2099.1400000000003</v>
      </c>
      <c r="AF89" s="94">
        <f t="shared" si="12"/>
        <v>2109.44</v>
      </c>
      <c r="AG89" s="61">
        <f t="shared" si="12"/>
        <v>2111.5500000000002</v>
      </c>
      <c r="AH89" s="47">
        <f t="shared" si="9"/>
        <v>2212.34</v>
      </c>
      <c r="AI89" s="48">
        <f t="shared" si="10"/>
        <v>1989.6399999999999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>
        <v>80</v>
      </c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80</v>
      </c>
      <c r="AI90" s="48">
        <f t="shared" si="10"/>
        <v>80</v>
      </c>
    </row>
    <row r="91" spans="1:40" ht="15.75" thickBot="1" x14ac:dyDescent="0.3">
      <c r="A91" s="73" t="s">
        <v>102</v>
      </c>
      <c r="B91" s="94">
        <f>B89+B90</f>
        <v>2044.44</v>
      </c>
      <c r="C91" s="94">
        <f t="shared" ref="C91:AF91" si="13">C89+C90</f>
        <v>2043.3400000000001</v>
      </c>
      <c r="D91" s="94">
        <f t="shared" si="13"/>
        <v>2043.54</v>
      </c>
      <c r="E91" s="94">
        <f t="shared" si="13"/>
        <v>2043.1399999999999</v>
      </c>
      <c r="F91" s="94">
        <f t="shared" si="13"/>
        <v>2044.34</v>
      </c>
      <c r="G91" s="94">
        <f t="shared" si="13"/>
        <v>2045.44</v>
      </c>
      <c r="H91" s="94">
        <f t="shared" si="13"/>
        <v>2045.3400000000001</v>
      </c>
      <c r="I91" s="94">
        <f t="shared" si="13"/>
        <v>2049.84</v>
      </c>
      <c r="J91" s="94">
        <f t="shared" si="13"/>
        <v>2115.94</v>
      </c>
      <c r="K91" s="94">
        <f t="shared" si="13"/>
        <v>2137.54</v>
      </c>
      <c r="L91" s="94">
        <f t="shared" si="13"/>
        <v>2135.94</v>
      </c>
      <c r="M91" s="94">
        <f t="shared" si="13"/>
        <v>2141.94</v>
      </c>
      <c r="N91" s="94">
        <f t="shared" si="13"/>
        <v>2151.34</v>
      </c>
      <c r="O91" s="94">
        <f t="shared" si="13"/>
        <v>2146.34</v>
      </c>
      <c r="P91" s="94">
        <f t="shared" si="13"/>
        <v>2146.34</v>
      </c>
      <c r="Q91" s="94">
        <f>Q89+Q90</f>
        <v>2146.34</v>
      </c>
      <c r="R91" s="94">
        <f>R89+R90</f>
        <v>2161.34</v>
      </c>
      <c r="S91" s="94">
        <f t="shared" si="13"/>
        <v>2153.54</v>
      </c>
      <c r="T91" s="94">
        <f t="shared" si="13"/>
        <v>2149.94</v>
      </c>
      <c r="U91" s="94">
        <f t="shared" si="13"/>
        <v>2147.6400000000003</v>
      </c>
      <c r="V91" s="94">
        <f t="shared" si="13"/>
        <v>2095.34</v>
      </c>
      <c r="W91" s="94">
        <f t="shared" si="13"/>
        <v>2108.94</v>
      </c>
      <c r="X91" s="94">
        <f t="shared" si="13"/>
        <v>2154.7399999999998</v>
      </c>
      <c r="Y91" s="94">
        <f t="shared" si="13"/>
        <v>2069.64</v>
      </c>
      <c r="Z91" s="94">
        <f t="shared" si="13"/>
        <v>2212.34</v>
      </c>
      <c r="AA91" s="94">
        <f t="shared" si="13"/>
        <v>2199.7400000000002</v>
      </c>
      <c r="AB91" s="94">
        <f t="shared" si="13"/>
        <v>2175.2400000000002</v>
      </c>
      <c r="AC91" s="94">
        <f t="shared" si="13"/>
        <v>2202.7400000000002</v>
      </c>
      <c r="AD91" s="94">
        <f t="shared" si="13"/>
        <v>2171.44</v>
      </c>
      <c r="AE91" s="94">
        <f t="shared" si="13"/>
        <v>2099.1400000000003</v>
      </c>
      <c r="AF91" s="94">
        <f t="shared" si="13"/>
        <v>2109.44</v>
      </c>
      <c r="AG91" s="87">
        <f>AG88+AG84+AG72+AG68+AG50+AG90</f>
        <v>1573.45</v>
      </c>
      <c r="AH91" s="47">
        <f t="shared" si="9"/>
        <v>2212.34</v>
      </c>
      <c r="AI91" s="48">
        <f t="shared" si="10"/>
        <v>2043.1399999999999</v>
      </c>
    </row>
    <row r="92" spans="1:40" ht="15.75" thickBot="1" x14ac:dyDescent="0.3">
      <c r="A92" s="73" t="s">
        <v>103</v>
      </c>
      <c r="B92" s="94">
        <f>B91-(-B99)</f>
        <v>1427.44</v>
      </c>
      <c r="C92" s="94">
        <f t="shared" ref="C92:AF92" si="14">C91-(-C99)</f>
        <v>1445.3400000000001</v>
      </c>
      <c r="D92" s="94">
        <f t="shared" si="14"/>
        <v>1435.54</v>
      </c>
      <c r="E92" s="94">
        <f t="shared" si="14"/>
        <v>1402.7399999999998</v>
      </c>
      <c r="F92" s="94">
        <f t="shared" si="14"/>
        <v>1386.34</v>
      </c>
      <c r="G92" s="94">
        <f t="shared" si="14"/>
        <v>1417.04</v>
      </c>
      <c r="H92" s="94">
        <f t="shared" si="14"/>
        <v>1408.8400000000001</v>
      </c>
      <c r="I92" s="94">
        <f t="shared" si="14"/>
        <v>1421.0400000000002</v>
      </c>
      <c r="J92" s="94">
        <f t="shared" si="14"/>
        <v>1500.94</v>
      </c>
      <c r="K92" s="94">
        <f t="shared" si="14"/>
        <v>1531.04</v>
      </c>
      <c r="L92" s="94">
        <f t="shared" si="14"/>
        <v>1525.04</v>
      </c>
      <c r="M92" s="94">
        <f t="shared" si="14"/>
        <v>1544.94</v>
      </c>
      <c r="N92" s="94">
        <f t="shared" si="14"/>
        <v>1508.3400000000001</v>
      </c>
      <c r="O92" s="94">
        <f t="shared" si="14"/>
        <v>1591.3400000000001</v>
      </c>
      <c r="P92" s="94">
        <f t="shared" si="14"/>
        <v>1562.3400000000001</v>
      </c>
      <c r="Q92" s="94">
        <f>Q91-(-Q99)</f>
        <v>1546.3400000000001</v>
      </c>
      <c r="R92" s="94">
        <f>R91-(-R99)</f>
        <v>1547.3400000000001</v>
      </c>
      <c r="S92" s="94">
        <f t="shared" si="14"/>
        <v>1555.94</v>
      </c>
      <c r="T92" s="94">
        <f t="shared" si="14"/>
        <v>1568.94</v>
      </c>
      <c r="U92" s="94">
        <f t="shared" si="14"/>
        <v>1530.1400000000003</v>
      </c>
      <c r="V92" s="94">
        <f t="shared" si="14"/>
        <v>1499.64</v>
      </c>
      <c r="W92" s="94">
        <f t="shared" si="14"/>
        <v>1570.24</v>
      </c>
      <c r="X92" s="94">
        <f t="shared" si="14"/>
        <v>1669.6399999999999</v>
      </c>
      <c r="Y92" s="94">
        <f t="shared" si="14"/>
        <v>1588.4399999999998</v>
      </c>
      <c r="Z92" s="94">
        <f t="shared" si="14"/>
        <v>1722.7400000000002</v>
      </c>
      <c r="AA92" s="94">
        <f t="shared" si="14"/>
        <v>1716.7400000000002</v>
      </c>
      <c r="AB92" s="94">
        <f t="shared" si="14"/>
        <v>1622.2400000000002</v>
      </c>
      <c r="AC92" s="94">
        <f t="shared" si="14"/>
        <v>1649.7400000000002</v>
      </c>
      <c r="AD92" s="94">
        <f t="shared" si="14"/>
        <v>1592.44</v>
      </c>
      <c r="AE92" s="94">
        <f t="shared" si="14"/>
        <v>1483.1400000000003</v>
      </c>
      <c r="AF92" s="94">
        <f t="shared" si="14"/>
        <v>1544.44</v>
      </c>
      <c r="AG92" s="87"/>
      <c r="AH92" s="47">
        <f t="shared" si="9"/>
        <v>1722.7400000000002</v>
      </c>
      <c r="AI92" s="48">
        <f t="shared" si="10"/>
        <v>1386.34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-617</v>
      </c>
      <c r="C99" s="60">
        <f t="shared" ref="C99:AF99" si="15">C75</f>
        <v>-598</v>
      </c>
      <c r="D99" s="60">
        <f t="shared" si="15"/>
        <v>-608</v>
      </c>
      <c r="E99" s="60">
        <f t="shared" si="15"/>
        <v>-640.4</v>
      </c>
      <c r="F99" s="60">
        <f t="shared" si="15"/>
        <v>-658</v>
      </c>
      <c r="G99" s="60">
        <f t="shared" si="15"/>
        <v>-628.4</v>
      </c>
      <c r="H99" s="60">
        <f t="shared" si="15"/>
        <v>-636.5</v>
      </c>
      <c r="I99" s="60">
        <f t="shared" si="15"/>
        <v>-628.79999999999995</v>
      </c>
      <c r="J99" s="60">
        <f t="shared" si="15"/>
        <v>-615</v>
      </c>
      <c r="K99" s="60">
        <f t="shared" si="15"/>
        <v>-606.5</v>
      </c>
      <c r="L99" s="60">
        <f t="shared" si="15"/>
        <v>-610.9</v>
      </c>
      <c r="M99" s="60">
        <f t="shared" si="15"/>
        <v>-597</v>
      </c>
      <c r="N99" s="60">
        <f t="shared" si="15"/>
        <v>-643</v>
      </c>
      <c r="O99" s="60">
        <f t="shared" si="15"/>
        <v>-555</v>
      </c>
      <c r="P99" s="60">
        <f t="shared" si="15"/>
        <v>-584</v>
      </c>
      <c r="Q99" s="60">
        <f>Q75</f>
        <v>-600</v>
      </c>
      <c r="R99" s="60">
        <f>R75</f>
        <v>-614</v>
      </c>
      <c r="S99" s="60">
        <f t="shared" si="15"/>
        <v>-597.6</v>
      </c>
      <c r="T99" s="60">
        <f t="shared" si="15"/>
        <v>-581</v>
      </c>
      <c r="U99" s="60">
        <f t="shared" si="15"/>
        <v>-617.5</v>
      </c>
      <c r="V99" s="60">
        <f t="shared" si="15"/>
        <v>-595.70000000000005</v>
      </c>
      <c r="W99" s="60">
        <f t="shared" si="15"/>
        <v>-538.70000000000005</v>
      </c>
      <c r="X99" s="60">
        <f t="shared" si="15"/>
        <v>-485.1</v>
      </c>
      <c r="Y99" s="60">
        <f t="shared" si="15"/>
        <v>-481.2</v>
      </c>
      <c r="Z99" s="60">
        <f t="shared" si="15"/>
        <v>-489.6</v>
      </c>
      <c r="AA99" s="60">
        <f t="shared" si="15"/>
        <v>-483</v>
      </c>
      <c r="AB99" s="60">
        <f t="shared" si="15"/>
        <v>-553</v>
      </c>
      <c r="AC99" s="60">
        <f t="shared" si="15"/>
        <v>-553</v>
      </c>
      <c r="AD99" s="60">
        <f t="shared" si="15"/>
        <v>-579</v>
      </c>
      <c r="AE99" s="60">
        <f t="shared" si="15"/>
        <v>-616</v>
      </c>
      <c r="AF99" s="60">
        <f t="shared" si="15"/>
        <v>-565</v>
      </c>
      <c r="AG99" s="87"/>
      <c r="AH99" s="47">
        <f t="shared" si="9"/>
        <v>-481.2</v>
      </c>
      <c r="AI99" s="48">
        <f t="shared" si="10"/>
        <v>-658</v>
      </c>
      <c r="AK99" s="50"/>
    </row>
    <row r="100" spans="1:37" ht="15.75" thickBot="1" x14ac:dyDescent="0.3">
      <c r="A100" s="73" t="s">
        <v>108</v>
      </c>
      <c r="B100" s="60">
        <f>B84-B99</f>
        <v>617</v>
      </c>
      <c r="C100" s="60">
        <f t="shared" ref="C100:AF100" si="16">C84-C99</f>
        <v>598</v>
      </c>
      <c r="D100" s="60">
        <f t="shared" si="16"/>
        <v>608</v>
      </c>
      <c r="E100" s="60">
        <f t="shared" si="16"/>
        <v>640.4</v>
      </c>
      <c r="F100" s="60">
        <f t="shared" si="16"/>
        <v>658</v>
      </c>
      <c r="G100" s="60">
        <f t="shared" si="16"/>
        <v>628.4</v>
      </c>
      <c r="H100" s="60">
        <f t="shared" si="16"/>
        <v>636.5</v>
      </c>
      <c r="I100" s="60">
        <f t="shared" si="16"/>
        <v>628.79999999999995</v>
      </c>
      <c r="J100" s="60">
        <f t="shared" si="16"/>
        <v>615</v>
      </c>
      <c r="K100" s="60">
        <f t="shared" si="16"/>
        <v>606.5</v>
      </c>
      <c r="L100" s="60">
        <f t="shared" si="16"/>
        <v>610.9</v>
      </c>
      <c r="M100" s="60">
        <f t="shared" si="16"/>
        <v>597</v>
      </c>
      <c r="N100" s="60">
        <f t="shared" si="16"/>
        <v>643</v>
      </c>
      <c r="O100" s="60">
        <f t="shared" si="16"/>
        <v>555</v>
      </c>
      <c r="P100" s="60">
        <f t="shared" si="16"/>
        <v>584</v>
      </c>
      <c r="Q100" s="60">
        <f>Q84-Q99</f>
        <v>600</v>
      </c>
      <c r="R100" s="60">
        <f>R84-R99</f>
        <v>614</v>
      </c>
      <c r="S100" s="60">
        <f t="shared" si="16"/>
        <v>597.6</v>
      </c>
      <c r="T100" s="60">
        <f t="shared" si="16"/>
        <v>581</v>
      </c>
      <c r="U100" s="60">
        <f t="shared" si="16"/>
        <v>617.5</v>
      </c>
      <c r="V100" s="60">
        <f t="shared" si="16"/>
        <v>595.70000000000005</v>
      </c>
      <c r="W100" s="60">
        <f t="shared" si="16"/>
        <v>538.70000000000005</v>
      </c>
      <c r="X100" s="60">
        <f t="shared" si="16"/>
        <v>485.1</v>
      </c>
      <c r="Y100" s="60">
        <f t="shared" si="16"/>
        <v>535.70000000000005</v>
      </c>
      <c r="Z100" s="60">
        <f t="shared" si="16"/>
        <v>489.6</v>
      </c>
      <c r="AA100" s="60">
        <f t="shared" si="16"/>
        <v>483</v>
      </c>
      <c r="AB100" s="60">
        <f t="shared" si="16"/>
        <v>553</v>
      </c>
      <c r="AC100" s="60">
        <f t="shared" si="16"/>
        <v>553</v>
      </c>
      <c r="AD100" s="60">
        <f t="shared" si="16"/>
        <v>579</v>
      </c>
      <c r="AE100" s="60">
        <f t="shared" si="16"/>
        <v>616</v>
      </c>
      <c r="AF100" s="60">
        <f t="shared" si="16"/>
        <v>565</v>
      </c>
      <c r="AG100" s="87"/>
      <c r="AH100" s="47">
        <f t="shared" si="9"/>
        <v>658</v>
      </c>
      <c r="AI100" s="48">
        <f t="shared" si="10"/>
        <v>483</v>
      </c>
    </row>
    <row r="101" spans="1:37" x14ac:dyDescent="0.25">
      <c r="A101" s="99" t="s">
        <v>109</v>
      </c>
      <c r="B101" s="100">
        <v>49.8</v>
      </c>
      <c r="C101" s="100">
        <v>50</v>
      </c>
      <c r="D101" s="100">
        <v>50.018999999999998</v>
      </c>
      <c r="E101" s="100">
        <v>50.034999999999997</v>
      </c>
      <c r="F101" s="100">
        <v>50.03</v>
      </c>
      <c r="G101" s="100">
        <v>49.92</v>
      </c>
      <c r="H101" s="100">
        <v>50.003999999999998</v>
      </c>
      <c r="I101" s="100">
        <v>50.07</v>
      </c>
      <c r="J101" s="100">
        <v>50.015000000000001</v>
      </c>
      <c r="K101" s="100">
        <v>50.030999999999999</v>
      </c>
      <c r="L101" s="100">
        <v>49.85</v>
      </c>
      <c r="M101" s="100">
        <v>50.081000000000003</v>
      </c>
      <c r="N101" s="100">
        <v>50.04</v>
      </c>
      <c r="O101" s="100">
        <v>50.061999999999998</v>
      </c>
      <c r="P101" s="100">
        <v>49.932000000000002</v>
      </c>
      <c r="Q101" s="100">
        <v>49.932000000000002</v>
      </c>
      <c r="R101" s="100">
        <v>49.932000000000002</v>
      </c>
      <c r="S101" s="100">
        <v>50.085999999999999</v>
      </c>
      <c r="T101" s="100">
        <v>50.088999999999999</v>
      </c>
      <c r="U101" s="100">
        <v>50.052</v>
      </c>
      <c r="V101" s="100">
        <v>50.055999999999997</v>
      </c>
      <c r="W101" s="100">
        <v>50.076000000000001</v>
      </c>
      <c r="X101" s="100">
        <v>49.941000000000003</v>
      </c>
      <c r="Y101" s="100">
        <v>50.091000000000001</v>
      </c>
      <c r="Z101" s="100">
        <v>50.031999999999996</v>
      </c>
      <c r="AA101" s="100">
        <v>50.069000000000003</v>
      </c>
      <c r="AB101" s="100">
        <v>50.069000000000003</v>
      </c>
      <c r="AC101" s="100">
        <v>50.023000000000003</v>
      </c>
      <c r="AD101" s="100">
        <v>49.914000000000001</v>
      </c>
      <c r="AE101" s="100">
        <v>49.99</v>
      </c>
      <c r="AF101" s="100">
        <v>50.064</v>
      </c>
      <c r="AG101" s="101"/>
      <c r="AH101" s="47">
        <f t="shared" si="9"/>
        <v>50.091000000000001</v>
      </c>
      <c r="AI101" s="48">
        <f t="shared" si="10"/>
        <v>49.8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129</v>
      </c>
      <c r="C103" s="64">
        <v>129.4</v>
      </c>
      <c r="D103" s="64">
        <v>129.69999999999999</v>
      </c>
      <c r="E103" s="64">
        <v>129.19999999999999</v>
      </c>
      <c r="F103" s="64">
        <v>129.5</v>
      </c>
      <c r="G103" s="64">
        <v>129.69999999999999</v>
      </c>
      <c r="H103" s="64">
        <v>129.4</v>
      </c>
      <c r="I103" s="64">
        <v>127.5</v>
      </c>
      <c r="J103" s="64">
        <v>126.8</v>
      </c>
      <c r="K103" s="64">
        <v>128.5</v>
      </c>
      <c r="L103" s="64">
        <v>126</v>
      </c>
      <c r="M103" s="64">
        <v>125.6</v>
      </c>
      <c r="N103" s="64">
        <v>127.5</v>
      </c>
      <c r="O103" s="64">
        <v>124.5</v>
      </c>
      <c r="P103" s="64">
        <v>125.5</v>
      </c>
      <c r="Q103" s="64">
        <v>125.5</v>
      </c>
      <c r="R103" s="64">
        <v>125.5</v>
      </c>
      <c r="S103" s="64">
        <v>124.6</v>
      </c>
      <c r="T103" s="64">
        <v>126</v>
      </c>
      <c r="U103" s="64">
        <v>125.3</v>
      </c>
      <c r="V103" s="64">
        <v>127.1</v>
      </c>
      <c r="W103" s="64">
        <v>127.1</v>
      </c>
      <c r="X103" s="64">
        <v>127.3</v>
      </c>
      <c r="Y103" s="64">
        <v>127</v>
      </c>
      <c r="Z103" s="64">
        <v>127.4</v>
      </c>
      <c r="AA103" s="64">
        <v>128.80000000000001</v>
      </c>
      <c r="AB103" s="64">
        <v>128.80000000000001</v>
      </c>
      <c r="AC103" s="64">
        <v>129.69999999999999</v>
      </c>
      <c r="AD103" s="64">
        <v>128.5</v>
      </c>
      <c r="AE103" s="64">
        <v>129.19999999999999</v>
      </c>
      <c r="AF103" s="64">
        <v>129</v>
      </c>
      <c r="AG103" s="103"/>
      <c r="AH103" s="47">
        <f t="shared" si="9"/>
        <v>129.69999999999999</v>
      </c>
      <c r="AI103" s="48">
        <f t="shared" si="10"/>
        <v>124.5</v>
      </c>
    </row>
    <row r="104" spans="1:37" x14ac:dyDescent="0.25">
      <c r="A104" s="102" t="s">
        <v>112</v>
      </c>
      <c r="B104" s="64">
        <v>128.19999999999999</v>
      </c>
      <c r="C104" s="64">
        <v>128.80000000000001</v>
      </c>
      <c r="D104" s="64">
        <v>130.9</v>
      </c>
      <c r="E104" s="64">
        <v>129.5</v>
      </c>
      <c r="F104" s="64">
        <v>130.4</v>
      </c>
      <c r="G104" s="64">
        <v>131.1</v>
      </c>
      <c r="H104" s="64">
        <v>131.30000000000001</v>
      </c>
      <c r="I104" s="64">
        <v>130.19999999999999</v>
      </c>
      <c r="J104" s="64">
        <v>127.6</v>
      </c>
      <c r="K104" s="64">
        <v>128.19999999999999</v>
      </c>
      <c r="L104" s="64">
        <v>127</v>
      </c>
      <c r="M104" s="64">
        <v>130</v>
      </c>
      <c r="N104" s="64">
        <v>129.69999999999999</v>
      </c>
      <c r="O104" s="64">
        <v>129.30000000000001</v>
      </c>
      <c r="P104" s="64">
        <v>126.8</v>
      </c>
      <c r="Q104" s="64">
        <v>126.8</v>
      </c>
      <c r="R104" s="64">
        <v>126.8</v>
      </c>
      <c r="S104" s="64">
        <v>126.5</v>
      </c>
      <c r="T104" s="64">
        <v>129.5</v>
      </c>
      <c r="U104" s="64">
        <v>127.7</v>
      </c>
      <c r="V104" s="64">
        <v>130.9</v>
      </c>
      <c r="W104" s="64">
        <v>130.19999999999999</v>
      </c>
      <c r="X104" s="64">
        <v>125.6</v>
      </c>
      <c r="Y104" s="64">
        <v>129</v>
      </c>
      <c r="Z104" s="64">
        <v>126.1</v>
      </c>
      <c r="AA104" s="64">
        <v>127.6</v>
      </c>
      <c r="AB104" s="64">
        <v>127.6</v>
      </c>
      <c r="AC104" s="64">
        <v>127.2</v>
      </c>
      <c r="AD104" s="64">
        <v>127.6</v>
      </c>
      <c r="AE104" s="64">
        <v>129</v>
      </c>
      <c r="AF104" s="64">
        <v>129</v>
      </c>
      <c r="AG104" s="103"/>
      <c r="AH104" s="47">
        <f t="shared" si="9"/>
        <v>131.30000000000001</v>
      </c>
      <c r="AI104" s="48">
        <f t="shared" si="10"/>
        <v>125.6</v>
      </c>
    </row>
    <row r="105" spans="1:37" x14ac:dyDescent="0.25">
      <c r="A105" s="104" t="s">
        <v>113</v>
      </c>
      <c r="B105" s="64">
        <v>131.19999999999999</v>
      </c>
      <c r="C105" s="64">
        <v>131.9</v>
      </c>
      <c r="D105" s="64">
        <v>133.6</v>
      </c>
      <c r="E105" s="64">
        <v>132.6</v>
      </c>
      <c r="F105" s="64">
        <v>133.30000000000001</v>
      </c>
      <c r="G105" s="64">
        <v>133.9</v>
      </c>
      <c r="H105" s="64">
        <v>133.80000000000001</v>
      </c>
      <c r="I105" s="64">
        <v>132.80000000000001</v>
      </c>
      <c r="J105" s="64">
        <v>130</v>
      </c>
      <c r="K105" s="64">
        <v>129.9</v>
      </c>
      <c r="L105" s="64">
        <v>130</v>
      </c>
      <c r="M105" s="64">
        <v>133.80000000000001</v>
      </c>
      <c r="N105" s="64">
        <v>132.80000000000001</v>
      </c>
      <c r="O105" s="64">
        <v>132.80000000000001</v>
      </c>
      <c r="P105" s="64">
        <v>131.1</v>
      </c>
      <c r="Q105" s="64">
        <v>131.1</v>
      </c>
      <c r="R105" s="64">
        <v>131.1</v>
      </c>
      <c r="S105" s="64">
        <v>130</v>
      </c>
      <c r="T105" s="64">
        <v>131.80000000000001</v>
      </c>
      <c r="U105" s="64">
        <v>131.30000000000001</v>
      </c>
      <c r="V105" s="64">
        <v>135.4</v>
      </c>
      <c r="W105" s="64">
        <v>133.19999999999999</v>
      </c>
      <c r="X105" s="64">
        <v>127.1</v>
      </c>
      <c r="Y105" s="64">
        <v>132.1</v>
      </c>
      <c r="Z105" s="64">
        <v>129.19999999999999</v>
      </c>
      <c r="AA105" s="64">
        <v>131.6</v>
      </c>
      <c r="AB105" s="64">
        <v>131.6</v>
      </c>
      <c r="AC105" s="64">
        <v>131.5</v>
      </c>
      <c r="AD105" s="64">
        <v>132.5</v>
      </c>
      <c r="AE105" s="64">
        <v>134.30000000000001</v>
      </c>
      <c r="AF105" s="64">
        <v>132.5</v>
      </c>
      <c r="AG105" s="103"/>
      <c r="AH105" s="47">
        <f t="shared" si="9"/>
        <v>135.4</v>
      </c>
      <c r="AI105" s="48">
        <f t="shared" si="10"/>
        <v>127.1</v>
      </c>
    </row>
    <row r="106" spans="1:37" x14ac:dyDescent="0.25">
      <c r="A106" s="104" t="s">
        <v>114</v>
      </c>
      <c r="B106" s="105">
        <v>129.80000000000001</v>
      </c>
      <c r="C106" s="105">
        <v>131.19999999999999</v>
      </c>
      <c r="D106" s="105">
        <v>133.4</v>
      </c>
      <c r="E106" s="105">
        <v>131.6</v>
      </c>
      <c r="F106" s="105">
        <v>132.80000000000001</v>
      </c>
      <c r="G106" s="105">
        <v>133.4</v>
      </c>
      <c r="H106" s="105">
        <v>132.5</v>
      </c>
      <c r="I106" s="105">
        <v>131.19999999999999</v>
      </c>
      <c r="J106" s="105">
        <v>132.1</v>
      </c>
      <c r="K106" s="105">
        <v>132.30000000000001</v>
      </c>
      <c r="L106" s="105">
        <v>131.69999999999999</v>
      </c>
      <c r="M106" s="105">
        <v>134.19999999999999</v>
      </c>
      <c r="N106" s="105">
        <v>132.9</v>
      </c>
      <c r="O106" s="105">
        <v>132.9</v>
      </c>
      <c r="P106" s="105">
        <v>132.9</v>
      </c>
      <c r="Q106" s="105">
        <v>132.9</v>
      </c>
      <c r="R106" s="105">
        <v>132.9</v>
      </c>
      <c r="S106" s="105">
        <v>130.69999999999999</v>
      </c>
      <c r="T106" s="105">
        <v>128.19999999999999</v>
      </c>
      <c r="U106" s="105">
        <v>130.19999999999999</v>
      </c>
      <c r="V106" s="105">
        <v>134.1</v>
      </c>
      <c r="W106" s="105">
        <v>134.30000000000001</v>
      </c>
      <c r="X106" s="105">
        <v>135</v>
      </c>
      <c r="Y106" s="105">
        <v>130.4</v>
      </c>
      <c r="Z106" s="105">
        <v>133</v>
      </c>
      <c r="AA106" s="105">
        <v>132.80000000000001</v>
      </c>
      <c r="AB106" s="105">
        <v>132.80000000000001</v>
      </c>
      <c r="AC106" s="105">
        <v>133.80000000000001</v>
      </c>
      <c r="AD106" s="105">
        <v>131.69999999999999</v>
      </c>
      <c r="AE106" s="105">
        <v>134.4</v>
      </c>
      <c r="AF106" s="105">
        <v>132</v>
      </c>
      <c r="AG106" s="106"/>
      <c r="AH106" s="47">
        <f t="shared" si="9"/>
        <v>135</v>
      </c>
      <c r="AI106" s="48">
        <f t="shared" si="10"/>
        <v>128.19999999999999</v>
      </c>
    </row>
    <row r="107" spans="1:37" x14ac:dyDescent="0.25">
      <c r="A107" s="102" t="s">
        <v>115</v>
      </c>
      <c r="B107" s="64">
        <v>127.7</v>
      </c>
      <c r="C107" s="64">
        <v>126.6</v>
      </c>
      <c r="D107" s="64">
        <v>132.30000000000001</v>
      </c>
      <c r="E107" s="64">
        <v>133</v>
      </c>
      <c r="F107" s="64">
        <v>133.5</v>
      </c>
      <c r="G107" s="64">
        <v>134.19999999999999</v>
      </c>
      <c r="H107" s="64">
        <v>130.69999999999999</v>
      </c>
      <c r="I107" s="64">
        <v>132</v>
      </c>
      <c r="J107" s="64">
        <v>130.5</v>
      </c>
      <c r="K107" s="64">
        <v>132.6</v>
      </c>
      <c r="L107" s="64">
        <v>130.1</v>
      </c>
      <c r="M107" s="64">
        <v>135.1</v>
      </c>
      <c r="N107" s="64">
        <v>135</v>
      </c>
      <c r="O107" s="64">
        <v>135.30000000000001</v>
      </c>
      <c r="P107" s="64">
        <v>135.30000000000001</v>
      </c>
      <c r="Q107" s="64">
        <v>135.30000000000001</v>
      </c>
      <c r="R107" s="64">
        <v>135.30000000000001</v>
      </c>
      <c r="S107" s="64">
        <v>131.1</v>
      </c>
      <c r="T107" s="64">
        <v>123</v>
      </c>
      <c r="U107" s="64">
        <v>129.9</v>
      </c>
      <c r="V107" s="64">
        <v>135.69999999999999</v>
      </c>
      <c r="W107" s="64">
        <v>134</v>
      </c>
      <c r="X107" s="64">
        <v>132.80000000000001</v>
      </c>
      <c r="Y107" s="64">
        <v>130.80000000000001</v>
      </c>
      <c r="Z107" s="64">
        <v>129.1</v>
      </c>
      <c r="AA107" s="64">
        <v>128.9</v>
      </c>
      <c r="AB107" s="64">
        <v>128.9</v>
      </c>
      <c r="AC107" s="64">
        <v>134.19999999999999</v>
      </c>
      <c r="AD107" s="64">
        <v>130.4</v>
      </c>
      <c r="AE107" s="64">
        <v>135.6</v>
      </c>
      <c r="AF107" s="64">
        <v>128.6</v>
      </c>
      <c r="AG107" s="103"/>
      <c r="AH107" s="47">
        <f t="shared" si="9"/>
        <v>135.69999999999999</v>
      </c>
      <c r="AI107" s="48">
        <f t="shared" si="10"/>
        <v>123</v>
      </c>
    </row>
    <row r="108" spans="1:37" ht="15.75" thickBot="1" x14ac:dyDescent="0.3">
      <c r="A108" s="102" t="s">
        <v>116</v>
      </c>
      <c r="B108" s="91">
        <v>65.2</v>
      </c>
      <c r="C108" s="91">
        <v>65.5</v>
      </c>
      <c r="D108" s="91">
        <v>65.599999999999994</v>
      </c>
      <c r="E108" s="91">
        <v>65.099999999999994</v>
      </c>
      <c r="F108" s="91">
        <v>65.3</v>
      </c>
      <c r="G108" s="91">
        <v>65.599999999999994</v>
      </c>
      <c r="H108" s="91">
        <v>65.3</v>
      </c>
      <c r="I108" s="91">
        <v>64.3</v>
      </c>
      <c r="J108" s="91">
        <v>64.099999999999994</v>
      </c>
      <c r="K108" s="91">
        <v>64.8</v>
      </c>
      <c r="L108" s="91">
        <v>63.4</v>
      </c>
      <c r="M108" s="91">
        <v>63.4</v>
      </c>
      <c r="N108" s="91">
        <v>64.400000000000006</v>
      </c>
      <c r="O108" s="91">
        <v>63.1</v>
      </c>
      <c r="P108" s="91">
        <v>63.1</v>
      </c>
      <c r="Q108" s="91">
        <v>63.1</v>
      </c>
      <c r="R108" s="91">
        <v>63.1</v>
      </c>
      <c r="S108" s="91">
        <v>63.9</v>
      </c>
      <c r="T108" s="91">
        <v>63.8</v>
      </c>
      <c r="U108" s="91">
        <v>63.3</v>
      </c>
      <c r="V108" s="91">
        <v>64.2</v>
      </c>
      <c r="W108" s="91">
        <v>64.2</v>
      </c>
      <c r="X108" s="91">
        <v>64.400000000000006</v>
      </c>
      <c r="Y108" s="91">
        <v>64.2</v>
      </c>
      <c r="Z108" s="91">
        <v>64.5</v>
      </c>
      <c r="AA108" s="91">
        <v>65.400000000000006</v>
      </c>
      <c r="AB108" s="91">
        <v>65.400000000000006</v>
      </c>
      <c r="AC108" s="91">
        <v>65.599999999999994</v>
      </c>
      <c r="AD108" s="91">
        <v>64.900000000000006</v>
      </c>
      <c r="AE108" s="91">
        <v>65</v>
      </c>
      <c r="AF108" s="91">
        <v>64.7</v>
      </c>
      <c r="AG108" s="107"/>
      <c r="AH108" s="47">
        <f t="shared" si="9"/>
        <v>65.599999999999994</v>
      </c>
      <c r="AI108" s="48">
        <f t="shared" si="10"/>
        <v>63.1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>SUM(B20,B26,B29:B30,B58,B60:B61,B63,B65,B111:B115,B138,B144,B150,B159,B161,B173,B180,B183:B184,B191,B193,B195,B199:B201,B203:B205,B210,B216:B217,B219:B221,B229,B234)</f>
        <v>27.099999999999984</v>
      </c>
      <c r="C110" s="110">
        <f t="shared" ref="C110:O110" si="17">SUM(C20,C26,C29:C30,C58,C60:C61,C63,C65,C111:C115,C138,C144,C150,C159,C161,C173,C180,C183:C184,C191,C193,C195,C199:C201,C203:C205,C210,C216:C217,C219:C221,C229,C234)</f>
        <v>31.939999999999962</v>
      </c>
      <c r="D110" s="110">
        <f t="shared" si="17"/>
        <v>23.939999999999973</v>
      </c>
      <c r="E110" s="110">
        <f t="shared" si="17"/>
        <v>18.539999999999988</v>
      </c>
      <c r="F110" s="110">
        <f t="shared" si="17"/>
        <v>26.94</v>
      </c>
      <c r="G110" s="110">
        <f t="shared" si="17"/>
        <v>44.839999999999989</v>
      </c>
      <c r="H110" s="110">
        <f t="shared" si="17"/>
        <v>55.739999999999995</v>
      </c>
      <c r="I110" s="110">
        <f t="shared" si="17"/>
        <v>85.240000000000023</v>
      </c>
      <c r="J110" s="110">
        <f t="shared" si="17"/>
        <v>141.54</v>
      </c>
      <c r="K110" s="110">
        <f t="shared" si="17"/>
        <v>190.64000000000004</v>
      </c>
      <c r="L110" s="110">
        <f t="shared" si="17"/>
        <v>227.23999999999998</v>
      </c>
      <c r="M110" s="110">
        <f t="shared" si="17"/>
        <v>242.03999999999996</v>
      </c>
      <c r="N110" s="110">
        <f t="shared" si="17"/>
        <v>201.64000000000001</v>
      </c>
      <c r="O110" s="110">
        <f t="shared" si="17"/>
        <v>208.94</v>
      </c>
      <c r="P110" s="110">
        <v>42</v>
      </c>
      <c r="Q110" s="110">
        <v>42</v>
      </c>
      <c r="R110" s="110">
        <v>42</v>
      </c>
      <c r="S110" s="110">
        <f t="shared" ref="S110:AF110" si="18">SUM(S20,S26,S29:S30,S58,S60:S61,S63,S65,S111:S115,S138,S144,S150,S159,S161,S173,S180,S183:S184,S191,S193,S195,S199:S201,S203:S205,S210,S216:S217,S219:S221,S229,S234)</f>
        <v>211.00000000000006</v>
      </c>
      <c r="T110" s="110">
        <f t="shared" si="18"/>
        <v>214.70000000000007</v>
      </c>
      <c r="U110" s="110">
        <f t="shared" si="18"/>
        <v>203</v>
      </c>
      <c r="V110" s="110">
        <f t="shared" si="18"/>
        <v>194.79999999999995</v>
      </c>
      <c r="W110" s="110">
        <f t="shared" si="18"/>
        <v>214.10000000000002</v>
      </c>
      <c r="X110" s="110">
        <f t="shared" si="18"/>
        <v>243.09999999999997</v>
      </c>
      <c r="Y110" s="110">
        <f t="shared" si="18"/>
        <v>277.3</v>
      </c>
      <c r="Z110" s="110">
        <f t="shared" si="18"/>
        <v>259.89999999999998</v>
      </c>
      <c r="AA110" s="110">
        <f t="shared" si="18"/>
        <v>232</v>
      </c>
      <c r="AB110" s="110">
        <f t="shared" si="18"/>
        <v>232</v>
      </c>
      <c r="AC110" s="110">
        <f t="shared" si="18"/>
        <v>190.59999999999997</v>
      </c>
      <c r="AD110" s="110"/>
      <c r="AE110" s="110">
        <f t="shared" si="18"/>
        <v>93.899999999999991</v>
      </c>
      <c r="AF110" s="110">
        <f t="shared" si="18"/>
        <v>67.100000000000009</v>
      </c>
      <c r="AG110" s="111"/>
      <c r="AH110" s="47">
        <f t="shared" si="9"/>
        <v>277.3</v>
      </c>
      <c r="AI110" s="48">
        <f t="shared" si="10"/>
        <v>18.539999999999988</v>
      </c>
    </row>
    <row r="111" spans="1:37" x14ac:dyDescent="0.25">
      <c r="A111" s="99" t="s">
        <v>119</v>
      </c>
      <c r="B111" s="112">
        <v>12.7</v>
      </c>
      <c r="C111" s="112">
        <v>11.5</v>
      </c>
      <c r="D111" s="112">
        <v>14.6</v>
      </c>
      <c r="E111" s="112">
        <v>15.2</v>
      </c>
      <c r="F111" s="112">
        <v>16.100000000000001</v>
      </c>
      <c r="G111" s="112">
        <v>20</v>
      </c>
      <c r="H111" s="112">
        <v>18.600000000000001</v>
      </c>
      <c r="I111" s="112">
        <v>26.3</v>
      </c>
      <c r="J111" s="112">
        <v>38.700000000000003</v>
      </c>
      <c r="K111" s="112">
        <v>46.4</v>
      </c>
      <c r="L111" s="112">
        <v>56.6</v>
      </c>
      <c r="M111" s="112">
        <v>58.3</v>
      </c>
      <c r="N111" s="112">
        <v>55</v>
      </c>
      <c r="O111" s="112">
        <v>52.5</v>
      </c>
      <c r="P111" s="112">
        <v>52.5</v>
      </c>
      <c r="Q111" s="112">
        <v>59.6</v>
      </c>
      <c r="R111" s="112">
        <v>52.5</v>
      </c>
      <c r="S111" s="112">
        <v>76.099999999999994</v>
      </c>
      <c r="T111" s="112">
        <v>77.400000000000006</v>
      </c>
      <c r="U111" s="112">
        <v>77.2</v>
      </c>
      <c r="V111" s="112">
        <v>67.099999999999994</v>
      </c>
      <c r="W111" s="112">
        <v>64.900000000000006</v>
      </c>
      <c r="X111" s="112">
        <v>73.5</v>
      </c>
      <c r="Y111" s="112">
        <v>53</v>
      </c>
      <c r="Z111" s="112">
        <v>57.7</v>
      </c>
      <c r="AA111" s="112">
        <v>56.8</v>
      </c>
      <c r="AB111" s="112">
        <v>56.8</v>
      </c>
      <c r="AC111" s="112">
        <v>50</v>
      </c>
      <c r="AD111" s="112">
        <v>50</v>
      </c>
      <c r="AE111" s="112">
        <v>40</v>
      </c>
      <c r="AF111" s="112">
        <v>28.5</v>
      </c>
      <c r="AG111" s="113">
        <v>75</v>
      </c>
      <c r="AH111" s="47">
        <f t="shared" si="9"/>
        <v>77.400000000000006</v>
      </c>
      <c r="AI111" s="48">
        <f t="shared" si="10"/>
        <v>11.5</v>
      </c>
    </row>
    <row r="112" spans="1:37" x14ac:dyDescent="0.25">
      <c r="A112" s="102" t="s">
        <v>120</v>
      </c>
      <c r="B112" s="114">
        <v>20.9</v>
      </c>
      <c r="C112" s="114">
        <v>17.899999999999999</v>
      </c>
      <c r="D112" s="114">
        <v>21.7</v>
      </c>
      <c r="E112" s="114">
        <v>23.5</v>
      </c>
      <c r="F112" s="114">
        <v>24.7</v>
      </c>
      <c r="G112" s="114">
        <v>27.2</v>
      </c>
      <c r="H112" s="114">
        <v>27.2</v>
      </c>
      <c r="I112" s="114">
        <v>36.4</v>
      </c>
      <c r="J112" s="114">
        <v>56.5</v>
      </c>
      <c r="K112" s="114">
        <v>63</v>
      </c>
      <c r="L112" s="114">
        <v>77.2</v>
      </c>
      <c r="M112" s="114">
        <v>81.900000000000006</v>
      </c>
      <c r="N112" s="114">
        <v>77</v>
      </c>
      <c r="O112" s="114">
        <v>71.900000000000006</v>
      </c>
      <c r="P112" s="114">
        <v>71.900000000000006</v>
      </c>
      <c r="Q112" s="114">
        <v>84.6</v>
      </c>
      <c r="R112" s="114">
        <v>71.900000000000006</v>
      </c>
      <c r="S112" s="114">
        <v>109.3</v>
      </c>
      <c r="T112" s="114">
        <v>109.4</v>
      </c>
      <c r="U112" s="114">
        <v>109.9</v>
      </c>
      <c r="V112" s="114">
        <v>92.8</v>
      </c>
      <c r="W112" s="114">
        <v>89.9</v>
      </c>
      <c r="X112" s="114">
        <v>102.8</v>
      </c>
      <c r="Y112" s="114">
        <v>73.400000000000006</v>
      </c>
      <c r="Z112" s="114">
        <v>80.3</v>
      </c>
      <c r="AA112" s="114">
        <v>79.5</v>
      </c>
      <c r="AB112" s="114">
        <v>79.5</v>
      </c>
      <c r="AC112" s="114">
        <v>71.900000000000006</v>
      </c>
      <c r="AD112" s="114">
        <v>72.5</v>
      </c>
      <c r="AE112" s="114">
        <v>56.7</v>
      </c>
      <c r="AF112" s="114">
        <v>45.3</v>
      </c>
      <c r="AG112" s="113">
        <v>240</v>
      </c>
      <c r="AH112" s="47">
        <f t="shared" si="9"/>
        <v>109.9</v>
      </c>
      <c r="AI112" s="48">
        <f t="shared" si="10"/>
        <v>17.899999999999999</v>
      </c>
    </row>
    <row r="113" spans="1:37" x14ac:dyDescent="0.25">
      <c r="A113" s="102" t="s">
        <v>121</v>
      </c>
      <c r="B113" s="114">
        <f>-69.5-74.7</f>
        <v>-144.19999999999999</v>
      </c>
      <c r="C113" s="114">
        <f>-65.7-68.9</f>
        <v>-134.60000000000002</v>
      </c>
      <c r="D113" s="114">
        <f>-72.6-76.7</f>
        <v>-149.30000000000001</v>
      </c>
      <c r="E113" s="114">
        <f>-76-79</f>
        <v>-155</v>
      </c>
      <c r="F113" s="114">
        <f>-74-78</f>
        <v>-152</v>
      </c>
      <c r="G113" s="114">
        <f>-69-74</f>
        <v>-143</v>
      </c>
      <c r="H113" s="114">
        <v>-132</v>
      </c>
      <c r="I113" s="114">
        <f>-59-62</f>
        <v>-121</v>
      </c>
      <c r="J113" s="114">
        <f>-56-60</f>
        <v>-116</v>
      </c>
      <c r="K113" s="114">
        <f>-42-45</f>
        <v>-87</v>
      </c>
      <c r="L113" s="114">
        <f>-40-42</f>
        <v>-82</v>
      </c>
      <c r="M113" s="114">
        <v>-83</v>
      </c>
      <c r="N113" s="114">
        <v>-103</v>
      </c>
      <c r="O113" s="114">
        <v>-90</v>
      </c>
      <c r="P113" s="114">
        <v>-90</v>
      </c>
      <c r="Q113" s="114">
        <f>-55.2-59.2</f>
        <v>-114.4</v>
      </c>
      <c r="R113" s="114">
        <v>-90</v>
      </c>
      <c r="S113" s="114">
        <v>-160</v>
      </c>
      <c r="T113" s="114">
        <v>-157</v>
      </c>
      <c r="U113" s="114">
        <v>-165</v>
      </c>
      <c r="V113" s="114">
        <v>-132</v>
      </c>
      <c r="W113" s="114">
        <v>-110</v>
      </c>
      <c r="X113" s="114">
        <v>-124</v>
      </c>
      <c r="Y113" s="114">
        <v>-75</v>
      </c>
      <c r="Z113" s="114">
        <v>-82</v>
      </c>
      <c r="AA113" s="114">
        <v>-98</v>
      </c>
      <c r="AB113" s="114">
        <v>-98</v>
      </c>
      <c r="AC113" s="114">
        <v>-126</v>
      </c>
      <c r="AD113" s="114">
        <v>-132</v>
      </c>
      <c r="AE113" s="114">
        <v>-158</v>
      </c>
      <c r="AF113" s="114">
        <v>-156</v>
      </c>
      <c r="AG113" s="113">
        <v>240</v>
      </c>
      <c r="AH113" s="47">
        <f t="shared" si="9"/>
        <v>-75</v>
      </c>
      <c r="AI113" s="48">
        <f t="shared" si="10"/>
        <v>-165</v>
      </c>
    </row>
    <row r="114" spans="1:37" x14ac:dyDescent="0.25">
      <c r="A114" s="102" t="s">
        <v>122</v>
      </c>
      <c r="B114" s="114">
        <v>-13.7</v>
      </c>
      <c r="C114" s="114">
        <v>-15.2</v>
      </c>
      <c r="D114" s="114">
        <v>-15.5</v>
      </c>
      <c r="E114" s="114">
        <v>-17.600000000000001</v>
      </c>
      <c r="F114" s="114">
        <v>-14</v>
      </c>
      <c r="G114" s="114">
        <v>-12.3</v>
      </c>
      <c r="H114" s="114">
        <v>-10.7</v>
      </c>
      <c r="I114" s="114">
        <v>-9.6999999999999993</v>
      </c>
      <c r="J114" s="114">
        <v>-5.9</v>
      </c>
      <c r="K114" s="114">
        <v>0</v>
      </c>
      <c r="L114" s="114">
        <v>-2.1</v>
      </c>
      <c r="M114" s="114">
        <v>1.3</v>
      </c>
      <c r="N114" s="114">
        <v>-0.9</v>
      </c>
      <c r="O114" s="114">
        <v>1</v>
      </c>
      <c r="P114" s="114">
        <v>1</v>
      </c>
      <c r="Q114" s="114">
        <v>1</v>
      </c>
      <c r="R114" s="114">
        <v>1</v>
      </c>
      <c r="S114" s="114">
        <v>-10.5</v>
      </c>
      <c r="T114" s="114">
        <v>-7.6</v>
      </c>
      <c r="U114" s="114">
        <v>-4</v>
      </c>
      <c r="V114" s="114">
        <v>-4.8</v>
      </c>
      <c r="W114" s="114">
        <v>-2</v>
      </c>
      <c r="X114" s="114">
        <v>19.5</v>
      </c>
      <c r="Y114" s="114">
        <v>45.2</v>
      </c>
      <c r="Z114" s="114">
        <v>23.4</v>
      </c>
      <c r="AA114" s="114">
        <v>13.2</v>
      </c>
      <c r="AB114" s="114">
        <v>13.2</v>
      </c>
      <c r="AC114" s="114">
        <v>14.2</v>
      </c>
      <c r="AD114" s="114">
        <v>-5</v>
      </c>
      <c r="AE114" s="114">
        <v>-10.3</v>
      </c>
      <c r="AF114" s="114">
        <v>-16.2</v>
      </c>
      <c r="AG114" s="113">
        <v>60</v>
      </c>
      <c r="AH114" s="47">
        <f t="shared" si="9"/>
        <v>45.2</v>
      </c>
      <c r="AI114" s="48">
        <f t="shared" si="10"/>
        <v>-17.600000000000001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16.100000000000001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9"/>
        <v>16.100000000000001</v>
      </c>
      <c r="AI115" s="48">
        <f t="shared" si="10"/>
        <v>0</v>
      </c>
    </row>
    <row r="116" spans="1:37" x14ac:dyDescent="0.25">
      <c r="A116" s="115" t="s">
        <v>124</v>
      </c>
      <c r="B116" s="116">
        <v>40.200000000000003</v>
      </c>
      <c r="C116" s="116">
        <v>39.5</v>
      </c>
      <c r="D116" s="116">
        <v>35.700000000000003</v>
      </c>
      <c r="E116" s="116">
        <v>15.9</v>
      </c>
      <c r="F116" s="116">
        <v>5.9</v>
      </c>
      <c r="G116" s="116">
        <v>12.3</v>
      </c>
      <c r="H116" s="116">
        <v>42.6</v>
      </c>
      <c r="I116" s="116">
        <v>47.6</v>
      </c>
      <c r="J116" s="116">
        <v>47</v>
      </c>
      <c r="K116" s="116">
        <v>59.1</v>
      </c>
      <c r="L116" s="116">
        <v>68.900000000000006</v>
      </c>
      <c r="M116" s="116">
        <v>41.1</v>
      </c>
      <c r="N116" s="116">
        <v>65</v>
      </c>
      <c r="O116" s="116">
        <v>22.1</v>
      </c>
      <c r="P116" s="116">
        <v>17.8</v>
      </c>
      <c r="Q116" s="116">
        <v>18.100000000000001</v>
      </c>
      <c r="R116" s="116">
        <v>22.6</v>
      </c>
      <c r="S116" s="116">
        <v>-12.1</v>
      </c>
      <c r="T116" s="116">
        <v>23.1</v>
      </c>
      <c r="U116" s="116">
        <v>1</v>
      </c>
      <c r="V116" s="116">
        <v>16</v>
      </c>
      <c r="W116" s="116">
        <v>54.1</v>
      </c>
      <c r="X116" s="116">
        <v>54.4</v>
      </c>
      <c r="Y116" s="116">
        <v>-5.2</v>
      </c>
      <c r="Z116" s="116">
        <v>24.5</v>
      </c>
      <c r="AA116" s="116">
        <v>30.8</v>
      </c>
      <c r="AB116" s="116">
        <v>30.8</v>
      </c>
      <c r="AC116" s="116">
        <v>-0.9</v>
      </c>
      <c r="AD116" s="116">
        <v>-2</v>
      </c>
      <c r="AE116" s="116">
        <v>-28</v>
      </c>
      <c r="AF116" s="116">
        <v>28.5</v>
      </c>
      <c r="AG116" s="117"/>
      <c r="AH116" s="47">
        <f t="shared" si="9"/>
        <v>68.900000000000006</v>
      </c>
      <c r="AI116" s="48">
        <f t="shared" si="10"/>
        <v>-28</v>
      </c>
    </row>
    <row r="117" spans="1:37" x14ac:dyDescent="0.25">
      <c r="A117" s="115" t="s">
        <v>125</v>
      </c>
      <c r="B117" s="116">
        <v>-14.9</v>
      </c>
      <c r="C117" s="116">
        <v>22.1</v>
      </c>
      <c r="D117" s="116">
        <v>9</v>
      </c>
      <c r="E117" s="116">
        <v>8.8000000000000007</v>
      </c>
      <c r="F117" s="116">
        <v>7.2</v>
      </c>
      <c r="G117" s="116">
        <v>-2.5</v>
      </c>
      <c r="H117" s="116">
        <v>52.4</v>
      </c>
      <c r="I117" s="116">
        <v>-6.8</v>
      </c>
      <c r="J117" s="116">
        <v>-5.9</v>
      </c>
      <c r="K117" s="116">
        <v>0</v>
      </c>
      <c r="L117" s="116">
        <v>93</v>
      </c>
      <c r="M117" s="116">
        <v>13.4</v>
      </c>
      <c r="N117" s="116">
        <v>-26.4</v>
      </c>
      <c r="O117" s="116">
        <v>-20.8</v>
      </c>
      <c r="P117" s="116">
        <v>-20.8</v>
      </c>
      <c r="Q117" s="116">
        <v>-19.2</v>
      </c>
      <c r="R117" s="116">
        <v>-22</v>
      </c>
      <c r="S117" s="116">
        <v>-50.5</v>
      </c>
      <c r="T117" s="116">
        <v>-41</v>
      </c>
      <c r="U117" s="116">
        <v>-31.6</v>
      </c>
      <c r="V117" s="116">
        <v>-33.200000000000003</v>
      </c>
      <c r="W117" s="116">
        <v>-30.4</v>
      </c>
      <c r="X117" s="116">
        <v>-12.4</v>
      </c>
      <c r="Y117" s="116">
        <v>-18.8</v>
      </c>
      <c r="Z117" s="116">
        <v>-14.4</v>
      </c>
      <c r="AA117" s="116">
        <v>-14.6</v>
      </c>
      <c r="AB117" s="116">
        <v>-14.6</v>
      </c>
      <c r="AC117" s="116">
        <v>-2.7</v>
      </c>
      <c r="AD117" s="116">
        <v>-5.0999999999999996</v>
      </c>
      <c r="AE117" s="116">
        <v>-12</v>
      </c>
      <c r="AF117" s="116">
        <v>6.9</v>
      </c>
      <c r="AG117" s="118"/>
      <c r="AH117" s="47">
        <f t="shared" si="9"/>
        <v>93</v>
      </c>
      <c r="AI117" s="48">
        <f t="shared" si="10"/>
        <v>-50.5</v>
      </c>
    </row>
    <row r="118" spans="1:37" x14ac:dyDescent="0.25">
      <c r="A118" s="119" t="s">
        <v>126</v>
      </c>
      <c r="B118" s="105">
        <v>79.8</v>
      </c>
      <c r="C118" s="105">
        <v>80.3</v>
      </c>
      <c r="D118" s="105">
        <v>81.2</v>
      </c>
      <c r="E118" s="105">
        <v>83.4</v>
      </c>
      <c r="F118" s="105">
        <v>84.8</v>
      </c>
      <c r="G118" s="105">
        <v>84.2</v>
      </c>
      <c r="H118" s="105">
        <v>83.3</v>
      </c>
      <c r="I118" s="105">
        <v>84.3</v>
      </c>
      <c r="J118" s="105">
        <v>82</v>
      </c>
      <c r="K118" s="105">
        <v>77.599999999999994</v>
      </c>
      <c r="L118" s="105">
        <v>74.8</v>
      </c>
      <c r="M118" s="105">
        <v>71.8</v>
      </c>
      <c r="N118" s="105">
        <v>71.2</v>
      </c>
      <c r="O118" s="105">
        <v>74.7</v>
      </c>
      <c r="P118" s="105">
        <v>74.7</v>
      </c>
      <c r="Q118" s="105">
        <v>74.7</v>
      </c>
      <c r="R118" s="105">
        <v>63.9</v>
      </c>
      <c r="S118" s="105">
        <v>62.9</v>
      </c>
      <c r="T118" s="105">
        <v>60.1</v>
      </c>
      <c r="U118" s="105">
        <v>57.4</v>
      </c>
      <c r="V118" s="105">
        <v>64.599999999999994</v>
      </c>
      <c r="W118" s="105">
        <v>50</v>
      </c>
      <c r="X118" s="105">
        <v>12.3</v>
      </c>
      <c r="Y118" s="105">
        <v>33.799999999999997</v>
      </c>
      <c r="Z118" s="105">
        <v>10.8</v>
      </c>
      <c r="AA118" s="105">
        <v>29.7</v>
      </c>
      <c r="AB118" s="105">
        <v>29.7</v>
      </c>
      <c r="AC118" s="105">
        <v>55.4</v>
      </c>
      <c r="AD118" s="105">
        <v>60</v>
      </c>
      <c r="AE118" s="105">
        <v>68.099999999999994</v>
      </c>
      <c r="AF118" s="105">
        <v>72.400000000000006</v>
      </c>
      <c r="AG118" s="118"/>
      <c r="AH118" s="47">
        <f t="shared" si="9"/>
        <v>84.8</v>
      </c>
      <c r="AI118" s="48">
        <f t="shared" si="10"/>
        <v>10.8</v>
      </c>
    </row>
    <row r="119" spans="1:37" x14ac:dyDescent="0.25">
      <c r="A119" s="120" t="s">
        <v>127</v>
      </c>
      <c r="B119" s="105">
        <v>70</v>
      </c>
      <c r="C119" s="105">
        <v>65.8</v>
      </c>
      <c r="D119" s="105">
        <v>79.8</v>
      </c>
      <c r="E119" s="105">
        <v>78.3</v>
      </c>
      <c r="F119" s="105">
        <v>79.400000000000006</v>
      </c>
      <c r="G119" s="105">
        <v>76.400000000000006</v>
      </c>
      <c r="H119" s="105">
        <v>66.5</v>
      </c>
      <c r="I119" s="105">
        <v>63.3</v>
      </c>
      <c r="J119" s="105">
        <v>68.8</v>
      </c>
      <c r="K119" s="105">
        <v>55</v>
      </c>
      <c r="L119" s="105">
        <v>55.3</v>
      </c>
      <c r="M119" s="105">
        <v>61.5</v>
      </c>
      <c r="N119" s="105">
        <v>69.5</v>
      </c>
      <c r="O119" s="105">
        <v>47</v>
      </c>
      <c r="P119" s="105">
        <v>47</v>
      </c>
      <c r="Q119" s="105">
        <v>47</v>
      </c>
      <c r="R119" s="105">
        <v>68.5</v>
      </c>
      <c r="S119" s="105">
        <v>75.5</v>
      </c>
      <c r="T119" s="105">
        <v>70.5</v>
      </c>
      <c r="U119" s="105">
        <v>77.5</v>
      </c>
      <c r="V119" s="105">
        <v>61.4</v>
      </c>
      <c r="W119" s="105">
        <v>44.7</v>
      </c>
      <c r="X119" s="105">
        <v>47.7</v>
      </c>
      <c r="Y119" s="105">
        <v>72.5</v>
      </c>
      <c r="Z119" s="105">
        <v>65.2</v>
      </c>
      <c r="AA119" s="105">
        <v>66.5</v>
      </c>
      <c r="AB119" s="105">
        <v>66.5</v>
      </c>
      <c r="AC119" s="105">
        <v>86.5</v>
      </c>
      <c r="AD119" s="105">
        <v>84.2</v>
      </c>
      <c r="AE119" s="105">
        <v>96</v>
      </c>
      <c r="AF119" s="105">
        <v>79.099999999999994</v>
      </c>
      <c r="AG119" s="118"/>
      <c r="AH119" s="47">
        <f t="shared" si="9"/>
        <v>96</v>
      </c>
      <c r="AI119" s="48">
        <f t="shared" si="10"/>
        <v>44.7</v>
      </c>
    </row>
    <row r="120" spans="1:37" ht="15.75" thickBot="1" x14ac:dyDescent="0.3">
      <c r="A120" s="119" t="s">
        <v>128</v>
      </c>
      <c r="B120" s="105">
        <v>-25.6</v>
      </c>
      <c r="C120" s="105">
        <v>-28.6</v>
      </c>
      <c r="D120" s="105">
        <v>-37.9</v>
      </c>
      <c r="E120" s="105">
        <v>-35.4</v>
      </c>
      <c r="F120" s="105">
        <v>-37.4</v>
      </c>
      <c r="G120" s="105">
        <v>-43.2</v>
      </c>
      <c r="H120" s="105">
        <v>-42.1</v>
      </c>
      <c r="I120" s="105">
        <v>-42.4</v>
      </c>
      <c r="J120" s="105">
        <v>-36.4</v>
      </c>
      <c r="K120" s="105">
        <v>-30.7</v>
      </c>
      <c r="L120" s="105">
        <v>-28.7</v>
      </c>
      <c r="M120" s="105">
        <v>-30</v>
      </c>
      <c r="N120" s="105">
        <v>-18.5</v>
      </c>
      <c r="O120" s="105">
        <v>-16.3</v>
      </c>
      <c r="P120" s="105">
        <v>-10.199999999999999</v>
      </c>
      <c r="Q120" s="105">
        <v>-12.5</v>
      </c>
      <c r="R120" s="105">
        <v>-11.5</v>
      </c>
      <c r="S120" s="105">
        <v>-13</v>
      </c>
      <c r="T120" s="105">
        <v>-4</v>
      </c>
      <c r="U120" s="105">
        <v>-10.3</v>
      </c>
      <c r="V120" s="105">
        <v>-11.9</v>
      </c>
      <c r="W120" s="105">
        <v>0.4</v>
      </c>
      <c r="X120" s="105">
        <v>27.9</v>
      </c>
      <c r="Y120" s="105">
        <v>24.3</v>
      </c>
      <c r="Z120" s="105">
        <v>34.799999999999997</v>
      </c>
      <c r="AA120" s="105">
        <v>28.1</v>
      </c>
      <c r="AB120" s="105">
        <v>28.1</v>
      </c>
      <c r="AC120" s="105">
        <v>10</v>
      </c>
      <c r="AD120" s="105">
        <v>8.5</v>
      </c>
      <c r="AE120" s="105">
        <v>-6</v>
      </c>
      <c r="AF120" s="105">
        <v>-2.4</v>
      </c>
      <c r="AG120" s="118"/>
      <c r="AH120" s="47">
        <f t="shared" si="9"/>
        <v>34.799999999999997</v>
      </c>
      <c r="AI120" s="48">
        <f t="shared" si="10"/>
        <v>-43.2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2151.34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21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2080/06/21)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2080/06/21)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2044.44</v>
      </c>
      <c r="U249" s="170">
        <f t="shared" si="23"/>
        <v>2043.3400000000001</v>
      </c>
      <c r="V249" s="170">
        <f t="shared" si="23"/>
        <v>2043.54</v>
      </c>
      <c r="W249" s="170">
        <f t="shared" si="23"/>
        <v>2043.1399999999999</v>
      </c>
      <c r="X249" s="170">
        <f t="shared" si="23"/>
        <v>2044.34</v>
      </c>
      <c r="Y249" s="170">
        <f t="shared" si="23"/>
        <v>2045.44</v>
      </c>
      <c r="Z249" s="170">
        <f t="shared" si="23"/>
        <v>2045.3400000000001</v>
      </c>
      <c r="AA249" s="170">
        <f t="shared" si="23"/>
        <v>2049.84</v>
      </c>
      <c r="AB249" s="170">
        <f t="shared" si="23"/>
        <v>2115.94</v>
      </c>
      <c r="AC249" s="170">
        <f t="shared" si="23"/>
        <v>2137.54</v>
      </c>
      <c r="AD249" s="170">
        <f t="shared" si="23"/>
        <v>2135.94</v>
      </c>
      <c r="AE249" s="170">
        <f t="shared" si="23"/>
        <v>2141.94</v>
      </c>
      <c r="AF249" s="170">
        <f t="shared" si="23"/>
        <v>2151.34</v>
      </c>
      <c r="AG249" s="170">
        <f t="shared" si="23"/>
        <v>2146.34</v>
      </c>
      <c r="AH249" s="170">
        <f t="shared" si="23"/>
        <v>2146.34</v>
      </c>
      <c r="AI249" s="170">
        <f t="shared" si="23"/>
        <v>2146.34</v>
      </c>
      <c r="AJ249" s="170">
        <f t="shared" si="23"/>
        <v>2161.34</v>
      </c>
      <c r="AK249" s="170">
        <f t="shared" si="23"/>
        <v>2153.54</v>
      </c>
      <c r="AL249" s="170">
        <f t="shared" si="23"/>
        <v>2149.94</v>
      </c>
      <c r="AM249" s="170">
        <f t="shared" si="23"/>
        <v>2147.6400000000003</v>
      </c>
      <c r="AN249" s="170">
        <f t="shared" si="23"/>
        <v>2095.34</v>
      </c>
      <c r="AO249" s="170">
        <f t="shared" si="23"/>
        <v>2108.94</v>
      </c>
      <c r="AP249" s="170">
        <f t="shared" si="23"/>
        <v>2154.7399999999998</v>
      </c>
      <c r="AQ249" s="170">
        <f t="shared" si="23"/>
        <v>2069.64</v>
      </c>
      <c r="AR249" s="170">
        <f t="shared" si="23"/>
        <v>2212.34</v>
      </c>
      <c r="AS249" s="170">
        <f t="shared" si="23"/>
        <v>2199.7400000000002</v>
      </c>
      <c r="AT249" s="170">
        <f t="shared" si="23"/>
        <v>2175.2400000000002</v>
      </c>
      <c r="AU249" s="170">
        <f t="shared" si="23"/>
        <v>2202.7400000000002</v>
      </c>
      <c r="AV249" s="170">
        <f t="shared" si="23"/>
        <v>2171.44</v>
      </c>
      <c r="AW249" s="170">
        <f t="shared" si="23"/>
        <v>2099.1400000000003</v>
      </c>
      <c r="AX249" s="170">
        <f t="shared" si="23"/>
        <v>2109.44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419" priority="166">
      <formula>$AH11=0</formula>
    </cfRule>
  </conditionalFormatting>
  <conditionalFormatting sqref="B8 M8 S8 AB8">
    <cfRule type="expression" dxfId="1418" priority="217">
      <formula>AND(C$9&gt;=14/24,C$9&lt;20/24)</formula>
    </cfRule>
    <cfRule type="expression" dxfId="1417" priority="218">
      <formula>AND(C$9&gt;=8/24,C$9&lt;14/24)</formula>
    </cfRule>
    <cfRule type="expression" dxfId="1416" priority="219">
      <formula>C$9&lt;8/24</formula>
    </cfRule>
  </conditionalFormatting>
  <conditionalFormatting sqref="Y61:AF66">
    <cfRule type="expression" dxfId="1415" priority="136">
      <formula>Y$9&gt;=20/24</formula>
    </cfRule>
    <cfRule type="expression" dxfId="1414" priority="137">
      <formula>AND(Y$9&gt;=14/24,Y$9&lt;20/24)</formula>
    </cfRule>
    <cfRule type="expression" dxfId="1413" priority="138">
      <formula>AND(Y$9&gt;=8/24,Y$9&lt;14/24)</formula>
    </cfRule>
    <cfRule type="expression" dxfId="1412" priority="139">
      <formula>Y$9&lt;8/24</formula>
    </cfRule>
  </conditionalFormatting>
  <conditionalFormatting sqref="B9:AF10 G11:L11 J12:L13 M11:X13 L19:X20 Y11:AF45">
    <cfRule type="expression" dxfId="1411" priority="125">
      <formula>B$9&gt;=20/24</formula>
    </cfRule>
    <cfRule type="expression" dxfId="1410" priority="126">
      <formula>AND(B$9&gt;=14/24,B$9&lt;20/24)</formula>
    </cfRule>
    <cfRule type="expression" dxfId="1409" priority="127">
      <formula>AND(B$9&gt;=8/24,B$9&lt;14/24)</formula>
    </cfRule>
    <cfRule type="expression" dxfId="1408" priority="128">
      <formula>B$9&lt;8/24</formula>
    </cfRule>
  </conditionalFormatting>
  <conditionalFormatting sqref="G11:L11 J12:L13 M11:X13 L19:X20 Y11:AF46">
    <cfRule type="expression" dxfId="1407" priority="124">
      <formula>G11&gt;$AG11</formula>
    </cfRule>
  </conditionalFormatting>
  <conditionalFormatting sqref="Y46:AF46">
    <cfRule type="expression" dxfId="1406" priority="120">
      <formula>Y$9&gt;=20/24</formula>
    </cfRule>
    <cfRule type="expression" dxfId="1405" priority="121">
      <formula>AND(Y$9&gt;=14/24,Y$9&lt;20/24)</formula>
    </cfRule>
    <cfRule type="expression" dxfId="1404" priority="122">
      <formula>AND(Y$9&gt;=8/24,Y$9&lt;14/24)</formula>
    </cfRule>
    <cfRule type="expression" dxfId="1403" priority="123">
      <formula>Y$9&lt;8/24</formula>
    </cfRule>
  </conditionalFormatting>
  <conditionalFormatting sqref="Y47:AF47">
    <cfRule type="expression" dxfId="1402" priority="134">
      <formula>Y47&gt;$AG47</formula>
    </cfRule>
  </conditionalFormatting>
  <conditionalFormatting sqref="E49:Z49 Y47:Z48 AA47:AF49">
    <cfRule type="expression" dxfId="1401" priority="130">
      <formula>E$9&gt;=20/24</formula>
    </cfRule>
    <cfRule type="expression" dxfId="1400" priority="131">
      <formula>AND(E$9&gt;=14/24,E$9&lt;20/24)</formula>
    </cfRule>
    <cfRule type="expression" dxfId="1399" priority="132">
      <formula>AND(E$9&gt;=8/24,E$9&lt;14/24)</formula>
    </cfRule>
    <cfRule type="expression" dxfId="1398" priority="133">
      <formula>E$9&lt;8/24</formula>
    </cfRule>
  </conditionalFormatting>
  <conditionalFormatting sqref="E49:R50 Y48:Z48 S49:Z49 AA48:AF49 S50:AF53">
    <cfRule type="expression" dxfId="1397" priority="129">
      <formula>E48&gt;$AG48</formula>
    </cfRule>
  </conditionalFormatting>
  <conditionalFormatting sqref="S51:AF53">
    <cfRule type="expression" dxfId="1396" priority="149">
      <formula>S$9&gt;=20/24</formula>
    </cfRule>
    <cfRule type="expression" dxfId="1395" priority="150">
      <formula>AND(S$9&gt;=14/24,S$9&lt;20/24)</formula>
    </cfRule>
    <cfRule type="expression" dxfId="1394" priority="151">
      <formula>AND(S$9&gt;=8/24,S$9&lt;14/24)</formula>
    </cfRule>
    <cfRule type="expression" dxfId="1393" priority="152">
      <formula>S$9&lt;8/24</formula>
    </cfRule>
  </conditionalFormatting>
  <conditionalFormatting sqref="E69:AF71">
    <cfRule type="expression" dxfId="1392" priority="157">
      <formula>E69&gt;$AG69</formula>
    </cfRule>
    <cfRule type="expression" dxfId="1391" priority="158">
      <formula>E$9&gt;=20/24</formula>
    </cfRule>
    <cfRule type="expression" dxfId="1390" priority="159">
      <formula>AND(E$9&gt;=14/24,E$9&lt;20/24)</formula>
    </cfRule>
    <cfRule type="expression" dxfId="1389" priority="160">
      <formula>AND(E$9&gt;=8/24,E$9&lt;14/24)</formula>
    </cfRule>
    <cfRule type="expression" dxfId="1388" priority="161">
      <formula>E$9&lt;8/24</formula>
    </cfRule>
  </conditionalFormatting>
  <conditionalFormatting sqref="C76:R91 E73:R75 S73:AF91">
    <cfRule type="expression" dxfId="1387" priority="103">
      <formula>C$9&gt;=20/24</formula>
    </cfRule>
    <cfRule type="expression" dxfId="1386" priority="104">
      <formula>AND(C$9&gt;=14/24,C$9&lt;20/24)</formula>
    </cfRule>
    <cfRule type="expression" dxfId="1385" priority="105">
      <formula>AND(C$9&gt;=8/24,C$9&lt;14/24)</formula>
    </cfRule>
    <cfRule type="expression" dxfId="1384" priority="106">
      <formula>C$9&lt;8/24</formula>
    </cfRule>
  </conditionalFormatting>
  <conditionalFormatting sqref="C111:AF120">
    <cfRule type="expression" dxfId="1383" priority="116">
      <formula>C$9&gt;=20/24</formula>
    </cfRule>
    <cfRule type="expression" dxfId="1382" priority="117">
      <formula>AND(C$9&gt;=14/24,C$9&lt;20/24)</formula>
    </cfRule>
    <cfRule type="expression" dxfId="1381" priority="118">
      <formula>AND(C$9&gt;=8/24,C$9&lt;14/24)</formula>
    </cfRule>
    <cfRule type="expression" dxfId="1380" priority="119">
      <formula>C$9&lt;8/24</formula>
    </cfRule>
  </conditionalFormatting>
  <conditionalFormatting sqref="B227:AF227 D229:AF230 B229:B235 D231:H231 J231:AF231 D232:AF235 U248:AF248">
    <cfRule type="expression" dxfId="1379" priority="210">
      <formula>B$9&gt;=20/24</formula>
    </cfRule>
    <cfRule type="expression" dxfId="1378" priority="211">
      <formula>AND(B$9&gt;=14/24,B$9&lt;20/24)</formula>
    </cfRule>
    <cfRule type="expression" dxfId="1377" priority="212">
      <formula>AND(B$9&gt;=8/24,B$9&lt;14/24)</formula>
    </cfRule>
    <cfRule type="expression" dxfId="1376" priority="213">
      <formula>B$9&lt;8/24</formula>
    </cfRule>
  </conditionalFormatting>
  <conditionalFormatting sqref="E72:AG72 E67:AG68">
    <cfRule type="expression" dxfId="1375" priority="144">
      <formula>E67&gt;$AG67</formula>
    </cfRule>
  </conditionalFormatting>
  <conditionalFormatting sqref="E72:AG72 C93:AF109">
    <cfRule type="expression" dxfId="1374" priority="145">
      <formula>C$9&gt;=20/24</formula>
    </cfRule>
    <cfRule type="expression" dxfId="1373" priority="146">
      <formula>AND(C$9&gt;=14/24,C$9&lt;20/24)</formula>
    </cfRule>
    <cfRule type="expression" dxfId="1372" priority="147">
      <formula>AND(C$9&gt;=8/24,C$9&lt;14/24)</formula>
    </cfRule>
    <cfRule type="expression" dxfId="1371" priority="148">
      <formula>C$9&lt;8/24</formula>
    </cfRule>
  </conditionalFormatting>
  <conditionalFormatting sqref="F55:I58 H59:I59 J55:S59 T55:X60 Y55:AF66">
    <cfRule type="expression" dxfId="1370" priority="107">
      <formula>F55&gt;$AG55</formula>
    </cfRule>
  </conditionalFormatting>
  <conditionalFormatting sqref="E54:AG54">
    <cfRule type="expression" dxfId="1369" priority="178">
      <formula>E54&gt;$AG54</formula>
    </cfRule>
    <cfRule type="expression" dxfId="1368" priority="179">
      <formula>E$9&gt;=20/24</formula>
    </cfRule>
    <cfRule type="expression" dxfId="1367" priority="180">
      <formula>AND(E$9&gt;=14/24,E$9&lt;20/24)</formula>
    </cfRule>
    <cfRule type="expression" dxfId="1366" priority="181">
      <formula>AND(E$9&gt;=8/24,E$9&lt;14/24)</formula>
    </cfRule>
    <cfRule type="expression" dxfId="1365" priority="182">
      <formula>E$9&lt;8/24</formula>
    </cfRule>
  </conditionalFormatting>
  <conditionalFormatting sqref="F55:X57">
    <cfRule type="expression" dxfId="1364" priority="191">
      <formula>F$9&gt;=20/24</formula>
    </cfRule>
    <cfRule type="expression" dxfId="1363" priority="192">
      <formula>AND(F$9&gt;=14/24,F$9&lt;20/24)</formula>
    </cfRule>
    <cfRule type="expression" dxfId="1362" priority="193">
      <formula>AND(F$9&gt;=8/24,F$9&lt;14/24)</formula>
    </cfRule>
    <cfRule type="expression" dxfId="1361" priority="194">
      <formula>F$9&lt;8/24</formula>
    </cfRule>
  </conditionalFormatting>
  <conditionalFormatting sqref="O3:P3">
    <cfRule type="iconSet" priority="214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360" priority="216">
      <formula>C$9&gt;=20/24</formula>
    </cfRule>
  </conditionalFormatting>
  <conditionalFormatting sqref="S8">
    <cfRule type="expression" dxfId="1359" priority="203">
      <formula>U$9&gt;=20/24</formula>
    </cfRule>
    <cfRule type="expression" dxfId="1358" priority="204">
      <formula>AND(U$9&gt;=14/24,U$9&lt;20/24)</formula>
    </cfRule>
    <cfRule type="expression" dxfId="1357" priority="205">
      <formula>AND(U$9&gt;=8/24,U$9&lt;14/24)</formula>
    </cfRule>
    <cfRule type="expression" dxfId="1356" priority="206">
      <formula>U$9&lt;8/24</formula>
    </cfRule>
  </conditionalFormatting>
  <conditionalFormatting sqref="S59 T55:AF60">
    <cfRule type="expression" dxfId="1355" priority="112">
      <formula>S$9&gt;=20/24</formula>
    </cfRule>
    <cfRule type="expression" dxfId="1354" priority="113">
      <formula>AND(S$9&gt;=14/24,S$9&lt;20/24)</formula>
    </cfRule>
    <cfRule type="expression" dxfId="1353" priority="114">
      <formula>AND(S$9&gt;=8/24,S$9&lt;14/24)</formula>
    </cfRule>
    <cfRule type="expression" dxfId="1352" priority="115">
      <formula>S$9&lt;8/24</formula>
    </cfRule>
  </conditionalFormatting>
  <conditionalFormatting sqref="T248">
    <cfRule type="expression" dxfId="1351" priority="228">
      <formula>AX$9&gt;=20/24</formula>
    </cfRule>
    <cfRule type="expression" dxfId="1350" priority="229">
      <formula>AND(AX$9&gt;=14/24,AX$9&lt;20/24)</formula>
    </cfRule>
    <cfRule type="expression" dxfId="1349" priority="230">
      <formula>AND(AX$9&gt;=8/24,AX$9&lt;14/24)</formula>
    </cfRule>
    <cfRule type="expression" dxfId="1348" priority="231">
      <formula>AX$9&lt;8/24</formula>
    </cfRule>
  </conditionalFormatting>
  <conditionalFormatting sqref="V3 AB3">
    <cfRule type="iconSet" priority="215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347" priority="199">
      <formula>AD$9&gt;=20/24</formula>
    </cfRule>
    <cfRule type="expression" dxfId="1346" priority="200">
      <formula>AND(AD$9&gt;=14/24,AD$9&lt;20/24)</formula>
    </cfRule>
    <cfRule type="expression" dxfId="1345" priority="201">
      <formula>AND(AD$9&gt;=8/24,AD$9&lt;14/24)</formula>
    </cfRule>
    <cfRule type="expression" dxfId="1344" priority="202">
      <formula>AD$9&lt;8/24</formula>
    </cfRule>
  </conditionalFormatting>
  <conditionalFormatting sqref="AE61:AF66">
    <cfRule type="expression" dxfId="1343" priority="108">
      <formula>AE$9&gt;=20/24</formula>
    </cfRule>
    <cfRule type="expression" dxfId="1342" priority="109">
      <formula>AND(AE$9&gt;=14/24,AE$9&lt;20/24)</formula>
    </cfRule>
    <cfRule type="expression" dxfId="1341" priority="110">
      <formula>AND(AE$9&gt;=8/24,AE$9&lt;14/24)</formula>
    </cfRule>
    <cfRule type="expression" dxfId="1340" priority="111">
      <formula>AE$9&lt;8/24</formula>
    </cfRule>
  </conditionalFormatting>
  <conditionalFormatting sqref="AG50">
    <cfRule type="expression" dxfId="1339" priority="186">
      <formula>AG50&gt;$AG50</formula>
    </cfRule>
  </conditionalFormatting>
  <conditionalFormatting sqref="AG89">
    <cfRule type="expression" dxfId="1338" priority="187">
      <formula>AG$9&gt;=20/24</formula>
    </cfRule>
    <cfRule type="expression" dxfId="1337" priority="188">
      <formula>AND(AG$9&gt;=14/24,AG$9&lt;20/24)</formula>
    </cfRule>
    <cfRule type="expression" dxfId="1336" priority="189">
      <formula>AND(AG$9&gt;=8/24,AG$9&lt;14/24)</formula>
    </cfRule>
    <cfRule type="expression" dxfId="1335" priority="190">
      <formula>AG$9&lt;8/24</formula>
    </cfRule>
  </conditionalFormatting>
  <conditionalFormatting sqref="AG248">
    <cfRule type="expression" dxfId="1334" priority="220">
      <formula>B$9&gt;=20/24</formula>
    </cfRule>
    <cfRule type="expression" dxfId="1333" priority="221">
      <formula>AND(B$9&gt;=14/24,B$9&lt;20/24)</formula>
    </cfRule>
    <cfRule type="expression" dxfId="1332" priority="222">
      <formula>AND(B$9&gt;=8/24,B$9&lt;14/24)</formula>
    </cfRule>
    <cfRule type="expression" dxfId="1331" priority="223">
      <formula>B$9&lt;8/24</formula>
    </cfRule>
  </conditionalFormatting>
  <conditionalFormatting sqref="AH248:AX248">
    <cfRule type="expression" dxfId="1330" priority="224">
      <formula>AG$9&gt;=20/24</formula>
    </cfRule>
    <cfRule type="expression" dxfId="1329" priority="225">
      <formula>AND(AG$9&gt;=14/24,AG$9&lt;20/24)</formula>
    </cfRule>
    <cfRule type="expression" dxfId="1328" priority="226">
      <formula>AND(AG$9&gt;=8/24,AG$9&lt;14/24)</formula>
    </cfRule>
    <cfRule type="expression" dxfId="1327" priority="227">
      <formula>AG$9&lt;8/24</formula>
    </cfRule>
  </conditionalFormatting>
  <conditionalFormatting sqref="AL4:AL6">
    <cfRule type="iconSet" priority="209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69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84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68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83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85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208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207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67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232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326" priority="233">
      <formula>AJ$9&gt;=20/24</formula>
    </cfRule>
    <cfRule type="expression" dxfId="1325" priority="234">
      <formula>AND(AJ$9&gt;=14/24,AJ$9&lt;20/24)</formula>
    </cfRule>
    <cfRule type="expression" dxfId="1324" priority="235">
      <formula>AND(AJ$9&gt;=8/24,AJ$9&lt;14/24)</formula>
    </cfRule>
    <cfRule type="expression" dxfId="1323" priority="236">
      <formula>AJ$9&lt;8/24</formula>
    </cfRule>
  </conditionalFormatting>
  <conditionalFormatting sqref="AL80:AN80 AL86:AN86">
    <cfRule type="expression" dxfId="1322" priority="174">
      <formula>AL$9&gt;=20/24</formula>
    </cfRule>
    <cfRule type="expression" dxfId="1321" priority="175">
      <formula>AND(AL$9&gt;=14/24,AL$9&lt;20/24)</formula>
    </cfRule>
    <cfRule type="expression" dxfId="1320" priority="176">
      <formula>AND(AL$9&gt;=8/24,AL$9&lt;14/24)</formula>
    </cfRule>
    <cfRule type="expression" dxfId="1319" priority="177">
      <formula>AL$9&lt;8/24</formula>
    </cfRule>
  </conditionalFormatting>
  <conditionalFormatting sqref="AN81:AN84">
    <cfRule type="expression" dxfId="1318" priority="170">
      <formula>AN$9&gt;=20/24</formula>
    </cfRule>
    <cfRule type="expression" dxfId="1317" priority="171">
      <formula>AND(AN$9&gt;=14/24,AN$9&lt;20/24)</formula>
    </cfRule>
    <cfRule type="expression" dxfId="1316" priority="172">
      <formula>AND(AN$9&gt;=8/24,AN$9&lt;14/24)</formula>
    </cfRule>
    <cfRule type="expression" dxfId="1315" priority="173">
      <formula>AN$9&lt;8/24</formula>
    </cfRule>
  </conditionalFormatting>
  <conditionalFormatting sqref="B11:F39 G12:I39 J14:J39 B40:J45 K14:K45 L14:X18 L21:X45">
    <cfRule type="expression" dxfId="1314" priority="23">
      <formula>B$9&gt;=20/24</formula>
    </cfRule>
    <cfRule type="expression" dxfId="1313" priority="24">
      <formula>AND(B$9&gt;=14/24,B$9&lt;20/24)</formula>
    </cfRule>
    <cfRule type="expression" dxfId="1312" priority="25">
      <formula>AND(B$9&gt;=8/24,B$9&lt;14/24)</formula>
    </cfRule>
    <cfRule type="expression" dxfId="1311" priority="26">
      <formula>B$9&lt;8/24</formula>
    </cfRule>
  </conditionalFormatting>
  <conditionalFormatting sqref="B11:F39 G12:I39 J14:J39 B40:J46 K14:K46 L14:X18 L21:X46">
    <cfRule type="expression" dxfId="1310" priority="22">
      <formula>B11&gt;$AG11</formula>
    </cfRule>
  </conditionalFormatting>
  <conditionalFormatting sqref="B46:X46">
    <cfRule type="expression" dxfId="1309" priority="18">
      <formula>B$9&gt;=20/24</formula>
    </cfRule>
    <cfRule type="expression" dxfId="1308" priority="19">
      <formula>AND(B$9&gt;=14/24,B$9&lt;20/24)</formula>
    </cfRule>
    <cfRule type="expression" dxfId="1307" priority="20">
      <formula>AND(B$9&gt;=8/24,B$9&lt;14/24)</formula>
    </cfRule>
    <cfRule type="expression" dxfId="1306" priority="21">
      <formula>B$9&lt;8/24</formula>
    </cfRule>
  </conditionalFormatting>
  <conditionalFormatting sqref="B47:X47">
    <cfRule type="expression" dxfId="1305" priority="32">
      <formula>B47&gt;$AG47</formula>
    </cfRule>
  </conditionalFormatting>
  <conditionalFormatting sqref="B47:D49 E47:X48">
    <cfRule type="expression" dxfId="1304" priority="28">
      <formula>B$9&gt;=20/24</formula>
    </cfRule>
    <cfRule type="expression" dxfId="1303" priority="29">
      <formula>AND(B$9&gt;=14/24,B$9&lt;20/24)</formula>
    </cfRule>
    <cfRule type="expression" dxfId="1302" priority="30">
      <formula>AND(B$9&gt;=8/24,B$9&lt;14/24)</formula>
    </cfRule>
    <cfRule type="expression" dxfId="1301" priority="31">
      <formula>B$9&lt;8/24</formula>
    </cfRule>
  </conditionalFormatting>
  <conditionalFormatting sqref="B48:D53 E51:R53 E48:X48">
    <cfRule type="expression" dxfId="1300" priority="27">
      <formula>B48&gt;$AG48</formula>
    </cfRule>
  </conditionalFormatting>
  <conditionalFormatting sqref="B51:R53">
    <cfRule type="expression" dxfId="1299" priority="38">
      <formula>B$9&gt;=20/24</formula>
    </cfRule>
    <cfRule type="expression" dxfId="1298" priority="39">
      <formula>AND(B$9&gt;=14/24,B$9&lt;20/24)</formula>
    </cfRule>
    <cfRule type="expression" dxfId="1297" priority="40">
      <formula>AND(B$9&gt;=8/24,B$9&lt;14/24)</formula>
    </cfRule>
    <cfRule type="expression" dxfId="1296" priority="41">
      <formula>B$9&lt;8/24</formula>
    </cfRule>
  </conditionalFormatting>
  <conditionalFormatting sqref="B69:D71">
    <cfRule type="expression" dxfId="1295" priority="42">
      <formula>B69&gt;$AG69</formula>
    </cfRule>
    <cfRule type="expression" dxfId="1294" priority="43">
      <formula>B$9&gt;=20/24</formula>
    </cfRule>
    <cfRule type="expression" dxfId="1293" priority="44">
      <formula>AND(B$9&gt;=14/24,B$9&lt;20/24)</formula>
    </cfRule>
    <cfRule type="expression" dxfId="1292" priority="45">
      <formula>AND(B$9&gt;=8/24,B$9&lt;14/24)</formula>
    </cfRule>
    <cfRule type="expression" dxfId="1291" priority="46">
      <formula>B$9&lt;8/24</formula>
    </cfRule>
  </conditionalFormatting>
  <conditionalFormatting sqref="B73:B91 C73:D75">
    <cfRule type="expression" dxfId="1290" priority="1">
      <formula>B$9&gt;=20/24</formula>
    </cfRule>
    <cfRule type="expression" dxfId="1289" priority="2">
      <formula>AND(B$9&gt;=14/24,B$9&lt;20/24)</formula>
    </cfRule>
    <cfRule type="expression" dxfId="1288" priority="3">
      <formula>AND(B$9&gt;=8/24,B$9&lt;14/24)</formula>
    </cfRule>
    <cfRule type="expression" dxfId="1287" priority="4">
      <formula>B$9&lt;8/24</formula>
    </cfRule>
  </conditionalFormatting>
  <conditionalFormatting sqref="B111:B120">
    <cfRule type="expression" dxfId="1286" priority="14">
      <formula>B$9&gt;=20/24</formula>
    </cfRule>
    <cfRule type="expression" dxfId="1285" priority="15">
      <formula>AND(B$9&gt;=14/24,B$9&lt;20/24)</formula>
    </cfRule>
    <cfRule type="expression" dxfId="1284" priority="16">
      <formula>AND(B$9&gt;=8/24,B$9&lt;14/24)</formula>
    </cfRule>
    <cfRule type="expression" dxfId="1283" priority="17">
      <formula>B$9&lt;8/24</formula>
    </cfRule>
  </conditionalFormatting>
  <conditionalFormatting sqref="B72:D72 B67:D68">
    <cfRule type="expression" dxfId="1282" priority="33">
      <formula>B67&gt;$AG67</formula>
    </cfRule>
  </conditionalFormatting>
  <conditionalFormatting sqref="B93:B109 B72:D72">
    <cfRule type="expression" dxfId="1281" priority="34">
      <formula>B$9&gt;=20/24</formula>
    </cfRule>
    <cfRule type="expression" dxfId="1280" priority="35">
      <formula>AND(B$9&gt;=14/24,B$9&lt;20/24)</formula>
    </cfRule>
    <cfRule type="expression" dxfId="1279" priority="36">
      <formula>AND(B$9&gt;=8/24,B$9&lt;14/24)</formula>
    </cfRule>
    <cfRule type="expression" dxfId="1278" priority="37">
      <formula>B$9&lt;8/24</formula>
    </cfRule>
  </conditionalFormatting>
  <conditionalFormatting sqref="B55:E66 F59:G66 H60:S66 T61:X66">
    <cfRule type="expression" dxfId="1277" priority="5">
      <formula>B55&gt;$AG55</formula>
    </cfRule>
  </conditionalFormatting>
  <conditionalFormatting sqref="B54:D54">
    <cfRule type="expression" dxfId="1276" priority="47">
      <formula>B54&gt;$AG54</formula>
    </cfRule>
    <cfRule type="expression" dxfId="1275" priority="48">
      <formula>B$9&gt;=20/24</formula>
    </cfRule>
    <cfRule type="expression" dxfId="1274" priority="49">
      <formula>AND(B$9&gt;=14/24,B$9&lt;20/24)</formula>
    </cfRule>
    <cfRule type="expression" dxfId="1273" priority="50">
      <formula>AND(B$9&gt;=8/24,B$9&lt;14/24)</formula>
    </cfRule>
    <cfRule type="expression" dxfId="1272" priority="51">
      <formula>B$9&lt;8/24</formula>
    </cfRule>
  </conditionalFormatting>
  <conditionalFormatting sqref="B55:E60 F59:G60 H60:S60">
    <cfRule type="expression" dxfId="1271" priority="10">
      <formula>B$9&gt;=20/24</formula>
    </cfRule>
    <cfRule type="expression" dxfId="1270" priority="11">
      <formula>AND(B$9&gt;=14/24,B$9&lt;20/24)</formula>
    </cfRule>
    <cfRule type="expression" dxfId="1269" priority="12">
      <formula>AND(B$9&gt;=8/24,B$9&lt;14/24)</formula>
    </cfRule>
    <cfRule type="expression" dxfId="1268" priority="13">
      <formula>B$9&lt;8/24</formula>
    </cfRule>
  </conditionalFormatting>
  <conditionalFormatting sqref="B61:X66">
    <cfRule type="expression" dxfId="1267" priority="6">
      <formula>B$9&gt;=20/24</formula>
    </cfRule>
    <cfRule type="expression" dxfId="1266" priority="7">
      <formula>AND(B$9&gt;=14/24,B$9&lt;20/24)</formula>
    </cfRule>
    <cfRule type="expression" dxfId="1265" priority="8">
      <formula>AND(B$9&gt;=8/24,B$9&lt;14/24)</formula>
    </cfRule>
    <cfRule type="expression" dxfId="1264" priority="9">
      <formula>B$9&lt;8/24</formula>
    </cfRule>
  </conditionalFormatting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A86F-CCC0-4421-AA3E-222FA9A038BD}">
  <sheetPr codeName="Sheet46"/>
  <dimension ref="A1:CJ281"/>
  <sheetViews>
    <sheetView workbookViewId="0">
      <pane xSplit="1" ySplit="10" topLeftCell="F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L29" sqref="L2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2080/06/22</v>
      </c>
      <c r="C4" s="201"/>
      <c r="D4" s="201"/>
      <c r="E4" s="202" t="str">
        <f ca="1">"2080/"&amp;"06/"&amp;INT(MID(CELL("filename",G6),FIND("]",CELL("filename",G6))+1,200))</f>
        <v>2080/06/22</v>
      </c>
      <c r="F4" s="202"/>
      <c r="G4" s="202"/>
      <c r="H4" s="202" t="str">
        <f ca="1">TEXT(E4,"dddd")</f>
        <v>Saturday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9</v>
      </c>
      <c r="Y5" s="30">
        <f t="shared" si="0"/>
        <v>3</v>
      </c>
      <c r="Z5" s="30">
        <f t="shared" si="0"/>
        <v>1.8</v>
      </c>
      <c r="AA5" s="30">
        <f t="shared" si="0"/>
        <v>7.7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2185MW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Load=2075</v>
      </c>
      <c r="B7" s="35">
        <f t="shared" ref="B7:AF7" si="1">B91</f>
        <v>2105.04</v>
      </c>
      <c r="C7" s="35">
        <f t="shared" si="1"/>
        <v>2105.04</v>
      </c>
      <c r="D7" s="35">
        <f t="shared" si="1"/>
        <v>2085.44</v>
      </c>
      <c r="E7" s="35">
        <f t="shared" si="1"/>
        <v>2074.64</v>
      </c>
      <c r="F7" s="35">
        <f t="shared" si="1"/>
        <v>2075.64</v>
      </c>
      <c r="G7" s="35">
        <f t="shared" si="1"/>
        <v>2075.54</v>
      </c>
      <c r="H7" s="35">
        <f t="shared" si="1"/>
        <v>2095.54</v>
      </c>
      <c r="I7" s="35">
        <f t="shared" si="1"/>
        <v>2134.34</v>
      </c>
      <c r="J7" s="35">
        <f t="shared" si="1"/>
        <v>2134.34</v>
      </c>
      <c r="K7" s="35">
        <f t="shared" si="1"/>
        <v>2171.7400000000002</v>
      </c>
      <c r="L7" s="35">
        <f t="shared" si="1"/>
        <v>2170.7400000000002</v>
      </c>
      <c r="M7" s="35">
        <f t="shared" si="1"/>
        <v>2184.54</v>
      </c>
      <c r="N7" s="35">
        <f>N91</f>
        <v>2184.54</v>
      </c>
      <c r="O7" s="35">
        <f t="shared" si="1"/>
        <v>2192.54</v>
      </c>
      <c r="P7" s="35">
        <f t="shared" si="1"/>
        <v>2175.64</v>
      </c>
      <c r="Q7" s="35">
        <f t="shared" si="1"/>
        <v>2175.64</v>
      </c>
      <c r="R7" s="35">
        <f t="shared" si="1"/>
        <v>2175.64</v>
      </c>
      <c r="S7" s="35">
        <f t="shared" si="1"/>
        <v>2178.04</v>
      </c>
      <c r="T7" s="35">
        <f t="shared" si="1"/>
        <v>2174.94</v>
      </c>
      <c r="U7" s="35">
        <f t="shared" si="1"/>
        <v>2147.44</v>
      </c>
      <c r="V7" s="35">
        <f t="shared" si="1"/>
        <v>2118.9400000000005</v>
      </c>
      <c r="W7" s="35">
        <f t="shared" si="1"/>
        <v>2118.9400000000005</v>
      </c>
      <c r="X7" s="35">
        <f t="shared" si="1"/>
        <v>2168.7400000000002</v>
      </c>
      <c r="Y7" s="35">
        <f t="shared" si="1"/>
        <v>2257.94</v>
      </c>
      <c r="Z7" s="35">
        <f t="shared" si="1"/>
        <v>2251.94</v>
      </c>
      <c r="AA7" s="35">
        <f t="shared" si="1"/>
        <v>2240.7400000000002</v>
      </c>
      <c r="AB7" s="35">
        <f t="shared" si="1"/>
        <v>2197.9399999999996</v>
      </c>
      <c r="AC7" s="35">
        <f t="shared" si="1"/>
        <v>2195.2399999999998</v>
      </c>
      <c r="AD7" s="35">
        <f t="shared" si="1"/>
        <v>2195.54</v>
      </c>
      <c r="AE7" s="35">
        <f t="shared" si="1"/>
        <v>2135.34</v>
      </c>
      <c r="AF7" s="35">
        <f t="shared" si="1"/>
        <v>2150.94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</v>
      </c>
      <c r="C11" s="45">
        <v>90</v>
      </c>
      <c r="D11" s="45">
        <v>90</v>
      </c>
      <c r="E11" s="45">
        <v>90</v>
      </c>
      <c r="F11" s="45">
        <v>90</v>
      </c>
      <c r="G11" s="45">
        <v>90</v>
      </c>
      <c r="H11" s="45">
        <v>90</v>
      </c>
      <c r="I11" s="45">
        <v>90</v>
      </c>
      <c r="J11" s="45">
        <v>90</v>
      </c>
      <c r="K11" s="45">
        <v>90</v>
      </c>
      <c r="L11" s="45">
        <v>90</v>
      </c>
      <c r="M11" s="45">
        <v>90.4</v>
      </c>
      <c r="N11" s="45">
        <v>90.4</v>
      </c>
      <c r="O11" s="45">
        <v>90.4</v>
      </c>
      <c r="P11" s="45">
        <v>90.4</v>
      </c>
      <c r="Q11" s="45">
        <v>90.4</v>
      </c>
      <c r="R11" s="45">
        <v>90.4</v>
      </c>
      <c r="S11" s="45">
        <v>90.4</v>
      </c>
      <c r="T11" s="45">
        <v>90.4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>
        <v>90.4</v>
      </c>
      <c r="AB11" s="45">
        <v>90.4</v>
      </c>
      <c r="AC11" s="45">
        <v>90.4</v>
      </c>
      <c r="AD11" s="45">
        <v>90.4</v>
      </c>
      <c r="AE11" s="45">
        <v>90.4</v>
      </c>
      <c r="AF11" s="45">
        <v>90.4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90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9</v>
      </c>
      <c r="F12" s="45">
        <v>9</v>
      </c>
      <c r="G12" s="45">
        <v>9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9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</v>
      </c>
      <c r="C13" s="45">
        <v>54</v>
      </c>
      <c r="D13" s="45">
        <v>54</v>
      </c>
      <c r="E13" s="45">
        <v>54</v>
      </c>
      <c r="F13" s="45">
        <v>54.2</v>
      </c>
      <c r="G13" s="45">
        <v>54.2</v>
      </c>
      <c r="H13" s="45">
        <v>54.2</v>
      </c>
      <c r="I13" s="45">
        <v>54.2</v>
      </c>
      <c r="J13" s="45">
        <v>54.2</v>
      </c>
      <c r="K13" s="45">
        <v>54.2</v>
      </c>
      <c r="L13" s="45">
        <v>54.2</v>
      </c>
      <c r="M13" s="45">
        <v>54.1</v>
      </c>
      <c r="N13" s="45">
        <v>54.1</v>
      </c>
      <c r="O13" s="45">
        <v>54.1</v>
      </c>
      <c r="P13" s="45">
        <v>54.1</v>
      </c>
      <c r="Q13" s="45">
        <v>54.1</v>
      </c>
      <c r="R13" s="45">
        <v>54.1</v>
      </c>
      <c r="S13" s="45">
        <v>54.1</v>
      </c>
      <c r="T13" s="45">
        <v>54.1</v>
      </c>
      <c r="U13" s="45">
        <v>54.1</v>
      </c>
      <c r="V13" s="45">
        <v>54.1</v>
      </c>
      <c r="W13" s="45">
        <v>54.1</v>
      </c>
      <c r="X13" s="45">
        <v>54.1</v>
      </c>
      <c r="Y13" s="45">
        <v>54.1</v>
      </c>
      <c r="Z13" s="45">
        <v>54.1</v>
      </c>
      <c r="AA13" s="45">
        <v>54.1</v>
      </c>
      <c r="AB13" s="45">
        <v>54.1</v>
      </c>
      <c r="AC13" s="45">
        <v>54.1</v>
      </c>
      <c r="AD13" s="45">
        <v>54.1</v>
      </c>
      <c r="AE13" s="45">
        <v>54.1</v>
      </c>
      <c r="AF13" s="45">
        <v>54.1</v>
      </c>
      <c r="AG13" s="46">
        <v>52.4</v>
      </c>
      <c r="AH13" s="47">
        <f t="shared" si="2"/>
        <v>54.2</v>
      </c>
      <c r="AI13" s="48">
        <f t="shared" si="3"/>
        <v>54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50.3</v>
      </c>
      <c r="C14" s="58">
        <v>50.3</v>
      </c>
      <c r="D14" s="58">
        <v>50.3</v>
      </c>
      <c r="E14" s="58">
        <v>50.3</v>
      </c>
      <c r="F14" s="58">
        <v>50.5</v>
      </c>
      <c r="G14" s="58">
        <v>50.5</v>
      </c>
      <c r="H14" s="58">
        <v>50.5</v>
      </c>
      <c r="I14" s="58">
        <v>50.5</v>
      </c>
      <c r="J14" s="58">
        <v>50.5</v>
      </c>
      <c r="K14" s="58">
        <v>50.5</v>
      </c>
      <c r="L14" s="58">
        <v>50.5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50.5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46.7</v>
      </c>
      <c r="C15" s="45">
        <v>46.7</v>
      </c>
      <c r="D15" s="45">
        <v>46.7</v>
      </c>
      <c r="E15" s="45">
        <v>46.7</v>
      </c>
      <c r="F15" s="45">
        <v>46.7</v>
      </c>
      <c r="G15" s="45">
        <v>46.7</v>
      </c>
      <c r="H15" s="45">
        <v>46.7</v>
      </c>
      <c r="I15" s="45">
        <v>46.7</v>
      </c>
      <c r="J15" s="45">
        <v>46.7</v>
      </c>
      <c r="K15" s="45">
        <v>46.7</v>
      </c>
      <c r="L15" s="45">
        <v>46.7</v>
      </c>
      <c r="M15" s="45">
        <v>46.3</v>
      </c>
      <c r="N15" s="45">
        <v>46.3</v>
      </c>
      <c r="O15" s="45">
        <v>46.3</v>
      </c>
      <c r="P15" s="45">
        <v>46.3</v>
      </c>
      <c r="Q15" s="45">
        <v>46.3</v>
      </c>
      <c r="R15" s="45">
        <v>46.3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46.3</v>
      </c>
      <c r="AF15" s="45">
        <v>46.3</v>
      </c>
      <c r="AG15" s="49">
        <v>45</v>
      </c>
      <c r="AH15" s="47">
        <f t="shared" si="2"/>
        <v>46.7</v>
      </c>
      <c r="AI15" s="48">
        <f t="shared" si="3"/>
        <v>46.3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28</v>
      </c>
      <c r="V17" s="45">
        <v>28</v>
      </c>
      <c r="W17" s="45">
        <v>28</v>
      </c>
      <c r="X17" s="45">
        <v>28</v>
      </c>
      <c r="Y17" s="45">
        <v>28</v>
      </c>
      <c r="Z17" s="45">
        <v>28</v>
      </c>
      <c r="AA17" s="45">
        <v>28</v>
      </c>
      <c r="AB17" s="45">
        <v>28</v>
      </c>
      <c r="AC17" s="45">
        <v>28</v>
      </c>
      <c r="AD17" s="45">
        <v>28</v>
      </c>
      <c r="AE17" s="45">
        <v>37</v>
      </c>
      <c r="AF17" s="45">
        <v>37</v>
      </c>
      <c r="AG17" s="49">
        <v>42</v>
      </c>
      <c r="AH17" s="47">
        <f t="shared" si="2"/>
        <v>37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>
        <v>38</v>
      </c>
      <c r="Q18" s="45">
        <v>38</v>
      </c>
      <c r="R18" s="45">
        <v>38</v>
      </c>
      <c r="S18" s="45">
        <v>38</v>
      </c>
      <c r="T18" s="45">
        <v>38</v>
      </c>
      <c r="U18" s="45">
        <v>38</v>
      </c>
      <c r="V18" s="45">
        <v>38</v>
      </c>
      <c r="W18" s="45">
        <v>38</v>
      </c>
      <c r="X18" s="45">
        <v>38</v>
      </c>
      <c r="Y18" s="45">
        <v>38</v>
      </c>
      <c r="Z18" s="45">
        <v>38</v>
      </c>
      <c r="AA18" s="45">
        <v>38</v>
      </c>
      <c r="AB18" s="45">
        <v>38</v>
      </c>
      <c r="AC18" s="45">
        <v>38</v>
      </c>
      <c r="AD18" s="45">
        <v>38</v>
      </c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15</v>
      </c>
      <c r="D20" s="45">
        <v>9.1</v>
      </c>
      <c r="E20" s="45">
        <v>5.2</v>
      </c>
      <c r="F20" s="45">
        <v>5.5</v>
      </c>
      <c r="G20" s="45">
        <v>5.5</v>
      </c>
      <c r="H20" s="45">
        <v>11.8</v>
      </c>
      <c r="I20" s="45">
        <v>20.5</v>
      </c>
      <c r="J20" s="45">
        <v>20.5</v>
      </c>
      <c r="K20" s="45">
        <v>30</v>
      </c>
      <c r="L20" s="45">
        <v>30</v>
      </c>
      <c r="M20" s="45">
        <v>29.9</v>
      </c>
      <c r="N20" s="45">
        <v>29.9</v>
      </c>
      <c r="O20" s="45">
        <v>29.9</v>
      </c>
      <c r="P20" s="45">
        <v>24</v>
      </c>
      <c r="Q20" s="45">
        <v>24</v>
      </c>
      <c r="R20" s="45">
        <v>24</v>
      </c>
      <c r="S20" s="45">
        <v>24</v>
      </c>
      <c r="T20" s="45">
        <v>24</v>
      </c>
      <c r="U20" s="45">
        <v>24</v>
      </c>
      <c r="V20" s="45">
        <v>15.3</v>
      </c>
      <c r="W20" s="45">
        <v>15.3</v>
      </c>
      <c r="X20" s="45">
        <v>15.3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30</v>
      </c>
      <c r="AE20" s="45">
        <v>15</v>
      </c>
      <c r="AF20" s="45">
        <v>15</v>
      </c>
      <c r="AG20" s="51">
        <v>30</v>
      </c>
      <c r="AH20" s="47">
        <f t="shared" si="2"/>
        <v>30</v>
      </c>
      <c r="AI20" s="48">
        <f t="shared" si="3"/>
        <v>5.2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30</v>
      </c>
      <c r="C21" s="45">
        <v>30</v>
      </c>
      <c r="D21" s="45">
        <v>30</v>
      </c>
      <c r="E21" s="45">
        <v>30</v>
      </c>
      <c r="F21" s="45">
        <v>30</v>
      </c>
      <c r="G21" s="45">
        <v>30</v>
      </c>
      <c r="H21" s="45">
        <v>30</v>
      </c>
      <c r="I21" s="45">
        <v>30</v>
      </c>
      <c r="J21" s="45">
        <v>30</v>
      </c>
      <c r="K21" s="45">
        <v>30</v>
      </c>
      <c r="L21" s="45">
        <v>30</v>
      </c>
      <c r="M21" s="45">
        <v>33</v>
      </c>
      <c r="N21" s="45">
        <v>33</v>
      </c>
      <c r="O21" s="45">
        <v>25</v>
      </c>
      <c r="P21" s="45">
        <v>25</v>
      </c>
      <c r="Q21" s="45">
        <v>25</v>
      </c>
      <c r="R21" s="45">
        <v>25</v>
      </c>
      <c r="S21" s="45">
        <v>25</v>
      </c>
      <c r="T21" s="45">
        <v>25</v>
      </c>
      <c r="U21" s="45">
        <v>25</v>
      </c>
      <c r="V21" s="45">
        <v>25</v>
      </c>
      <c r="W21" s="45">
        <v>25</v>
      </c>
      <c r="X21" s="45">
        <v>25</v>
      </c>
      <c r="Y21" s="45">
        <v>25</v>
      </c>
      <c r="Z21" s="45">
        <v>25</v>
      </c>
      <c r="AA21" s="45">
        <v>25</v>
      </c>
      <c r="AB21" s="45">
        <v>33</v>
      </c>
      <c r="AC21" s="45">
        <v>33</v>
      </c>
      <c r="AD21" s="45">
        <v>33</v>
      </c>
      <c r="AE21" s="45">
        <v>33</v>
      </c>
      <c r="AF21" s="45">
        <v>33</v>
      </c>
      <c r="AG21" s="49">
        <v>24.2</v>
      </c>
      <c r="AH21" s="47">
        <f t="shared" si="2"/>
        <v>33</v>
      </c>
      <c r="AI21" s="48">
        <f t="shared" si="3"/>
        <v>25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28.6</v>
      </c>
      <c r="G22" s="45">
        <v>28.6</v>
      </c>
      <c r="H22" s="45">
        <v>28.6</v>
      </c>
      <c r="I22" s="45">
        <v>28.6</v>
      </c>
      <c r="J22" s="45">
        <v>28.6</v>
      </c>
      <c r="K22" s="45">
        <v>28.6</v>
      </c>
      <c r="L22" s="45">
        <v>28.6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28.6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13.5</v>
      </c>
      <c r="C23" s="45">
        <v>13.5</v>
      </c>
      <c r="D23" s="45">
        <v>9</v>
      </c>
      <c r="E23" s="45">
        <v>4.5</v>
      </c>
      <c r="F23" s="45">
        <v>4.5</v>
      </c>
      <c r="G23" s="45">
        <v>4.5</v>
      </c>
      <c r="H23" s="45">
        <v>9</v>
      </c>
      <c r="I23" s="45">
        <v>18</v>
      </c>
      <c r="J23" s="45">
        <v>18</v>
      </c>
      <c r="K23" s="45">
        <v>27</v>
      </c>
      <c r="L23" s="45">
        <v>27</v>
      </c>
      <c r="M23" s="45">
        <v>27</v>
      </c>
      <c r="N23" s="45">
        <v>27</v>
      </c>
      <c r="O23" s="45">
        <v>27</v>
      </c>
      <c r="P23" s="45">
        <v>21</v>
      </c>
      <c r="Q23" s="45">
        <v>21</v>
      </c>
      <c r="R23" s="45">
        <v>21</v>
      </c>
      <c r="S23" s="45">
        <v>21</v>
      </c>
      <c r="T23" s="45">
        <v>21</v>
      </c>
      <c r="U23" s="45">
        <v>21</v>
      </c>
      <c r="V23" s="45">
        <v>13.5</v>
      </c>
      <c r="W23" s="45">
        <v>13.5</v>
      </c>
      <c r="X23" s="45">
        <v>13.5</v>
      </c>
      <c r="Y23" s="45">
        <v>27</v>
      </c>
      <c r="Z23" s="45">
        <v>27</v>
      </c>
      <c r="AA23" s="45">
        <v>27</v>
      </c>
      <c r="AB23" s="45">
        <v>20</v>
      </c>
      <c r="AC23" s="45">
        <v>25</v>
      </c>
      <c r="AD23" s="45">
        <v>27</v>
      </c>
      <c r="AE23" s="45">
        <v>14</v>
      </c>
      <c r="AF23" s="45">
        <v>14</v>
      </c>
      <c r="AG23" s="51">
        <v>30</v>
      </c>
      <c r="AH23" s="47">
        <f t="shared" si="2"/>
        <v>27</v>
      </c>
      <c r="AI23" s="48">
        <f t="shared" si="3"/>
        <v>4.5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24.6</v>
      </c>
      <c r="C24" s="45">
        <v>24.6</v>
      </c>
      <c r="D24" s="45">
        <v>24.6</v>
      </c>
      <c r="E24" s="45">
        <v>24.6</v>
      </c>
      <c r="F24" s="45">
        <v>24.5</v>
      </c>
      <c r="G24" s="45">
        <v>24.5</v>
      </c>
      <c r="H24" s="45">
        <v>24.6</v>
      </c>
      <c r="I24" s="45">
        <v>24.6</v>
      </c>
      <c r="J24" s="45">
        <v>24.6</v>
      </c>
      <c r="K24" s="45">
        <v>24.6</v>
      </c>
      <c r="L24" s="45">
        <v>24.6</v>
      </c>
      <c r="M24" s="45">
        <v>26.3</v>
      </c>
      <c r="N24" s="45">
        <v>26.3</v>
      </c>
      <c r="O24" s="45">
        <v>26.3</v>
      </c>
      <c r="P24" s="45">
        <v>26.3</v>
      </c>
      <c r="Q24" s="45">
        <v>26.3</v>
      </c>
      <c r="R24" s="45">
        <v>26.3</v>
      </c>
      <c r="S24" s="45">
        <v>26.3</v>
      </c>
      <c r="T24" s="45">
        <v>26.3</v>
      </c>
      <c r="U24" s="45">
        <v>26.3</v>
      </c>
      <c r="V24" s="45">
        <v>26.3</v>
      </c>
      <c r="W24" s="45">
        <v>26.3</v>
      </c>
      <c r="X24" s="45">
        <v>26.3</v>
      </c>
      <c r="Y24" s="45">
        <v>26.3</v>
      </c>
      <c r="Z24" s="45">
        <v>26.3</v>
      </c>
      <c r="AA24" s="45">
        <v>26.3</v>
      </c>
      <c r="AB24" s="45">
        <v>26.3</v>
      </c>
      <c r="AC24" s="45">
        <v>26.3</v>
      </c>
      <c r="AD24" s="45">
        <v>26.3</v>
      </c>
      <c r="AE24" s="45">
        <v>26.3</v>
      </c>
      <c r="AF24" s="45">
        <v>26.3</v>
      </c>
      <c r="AG24" s="49">
        <v>25</v>
      </c>
      <c r="AH24" s="47">
        <f t="shared" si="2"/>
        <v>26.3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12.5</v>
      </c>
      <c r="C27" s="45">
        <v>12.5</v>
      </c>
      <c r="D27" s="45">
        <v>8.5</v>
      </c>
      <c r="E27" s="45">
        <v>4.5</v>
      </c>
      <c r="F27" s="45">
        <v>4.5</v>
      </c>
      <c r="G27" s="45">
        <v>4.5</v>
      </c>
      <c r="H27" s="45">
        <v>8.5</v>
      </c>
      <c r="I27" s="45">
        <v>17</v>
      </c>
      <c r="J27" s="45">
        <v>17</v>
      </c>
      <c r="K27" s="45">
        <v>25</v>
      </c>
      <c r="L27" s="45">
        <v>25</v>
      </c>
      <c r="M27" s="45">
        <v>25</v>
      </c>
      <c r="N27" s="45">
        <v>25</v>
      </c>
      <c r="O27" s="45">
        <v>25</v>
      </c>
      <c r="P27" s="45">
        <v>20</v>
      </c>
      <c r="Q27" s="45">
        <v>20</v>
      </c>
      <c r="R27" s="45">
        <v>20</v>
      </c>
      <c r="S27" s="45">
        <v>20</v>
      </c>
      <c r="T27" s="45">
        <v>20</v>
      </c>
      <c r="U27" s="45">
        <v>20</v>
      </c>
      <c r="V27" s="45">
        <v>12.5</v>
      </c>
      <c r="W27" s="45">
        <v>12.5</v>
      </c>
      <c r="X27" s="45">
        <v>12.5</v>
      </c>
      <c r="Y27" s="45">
        <v>12.5</v>
      </c>
      <c r="Z27" s="45">
        <v>12.5</v>
      </c>
      <c r="AA27" s="45">
        <v>12.5</v>
      </c>
      <c r="AB27" s="45">
        <v>25</v>
      </c>
      <c r="AC27" s="45">
        <v>25</v>
      </c>
      <c r="AD27" s="45">
        <v>25</v>
      </c>
      <c r="AE27" s="45">
        <v>13</v>
      </c>
      <c r="AF27" s="45">
        <v>13</v>
      </c>
      <c r="AG27" s="49">
        <v>25</v>
      </c>
      <c r="AH27" s="47">
        <f t="shared" si="2"/>
        <v>25</v>
      </c>
      <c r="AI27" s="48">
        <f t="shared" si="3"/>
        <v>4.5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24.7</v>
      </c>
      <c r="C28" s="45">
        <v>24.7</v>
      </c>
      <c r="D28" s="45">
        <v>24.7</v>
      </c>
      <c r="E28" s="45">
        <v>24.7</v>
      </c>
      <c r="F28" s="45">
        <v>24.7</v>
      </c>
      <c r="G28" s="45">
        <v>24.7</v>
      </c>
      <c r="H28" s="45">
        <v>24.7</v>
      </c>
      <c r="I28" s="45">
        <v>24.7</v>
      </c>
      <c r="J28" s="45">
        <v>24.7</v>
      </c>
      <c r="K28" s="45">
        <v>24.7</v>
      </c>
      <c r="L28" s="45">
        <v>24.7</v>
      </c>
      <c r="M28" s="45">
        <v>25</v>
      </c>
      <c r="N28" s="45">
        <v>25</v>
      </c>
      <c r="O28" s="45">
        <v>25</v>
      </c>
      <c r="P28" s="45">
        <v>25</v>
      </c>
      <c r="Q28" s="45">
        <v>25</v>
      </c>
      <c r="R28" s="45">
        <v>25</v>
      </c>
      <c r="S28" s="45">
        <v>25</v>
      </c>
      <c r="T28" s="45">
        <v>25</v>
      </c>
      <c r="U28" s="45">
        <v>25</v>
      </c>
      <c r="V28" s="45">
        <v>25</v>
      </c>
      <c r="W28" s="45">
        <v>25</v>
      </c>
      <c r="X28" s="45">
        <v>25</v>
      </c>
      <c r="Y28" s="45">
        <v>25</v>
      </c>
      <c r="Z28" s="45">
        <v>25</v>
      </c>
      <c r="AA28" s="45">
        <v>25</v>
      </c>
      <c r="AB28" s="45">
        <v>25</v>
      </c>
      <c r="AC28" s="45">
        <v>25</v>
      </c>
      <c r="AD28" s="45">
        <v>25</v>
      </c>
      <c r="AE28" s="45">
        <v>25</v>
      </c>
      <c r="AF28" s="45">
        <v>25</v>
      </c>
      <c r="AG28" s="49">
        <v>23.5</v>
      </c>
      <c r="AH28" s="47">
        <f t="shared" si="2"/>
        <v>25</v>
      </c>
      <c r="AI28" s="48">
        <f t="shared" si="3"/>
        <v>24.7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4</v>
      </c>
      <c r="J33" s="45">
        <v>4</v>
      </c>
      <c r="K33" s="45">
        <v>7</v>
      </c>
      <c r="L33" s="45">
        <v>7</v>
      </c>
      <c r="M33" s="45">
        <v>7</v>
      </c>
      <c r="N33" s="45">
        <v>7</v>
      </c>
      <c r="O33" s="45">
        <v>7</v>
      </c>
      <c r="P33" s="45">
        <v>7</v>
      </c>
      <c r="Q33" s="45">
        <v>7</v>
      </c>
      <c r="R33" s="45">
        <v>7</v>
      </c>
      <c r="S33" s="45">
        <v>7</v>
      </c>
      <c r="T33" s="45">
        <v>7</v>
      </c>
      <c r="U33" s="45">
        <v>7</v>
      </c>
      <c r="V33" s="45">
        <v>7</v>
      </c>
      <c r="W33" s="45">
        <v>7</v>
      </c>
      <c r="X33" s="45">
        <v>7</v>
      </c>
      <c r="Y33" s="45">
        <v>6</v>
      </c>
      <c r="Z33" s="45">
        <v>6</v>
      </c>
      <c r="AA33" s="45">
        <v>6</v>
      </c>
      <c r="AB33" s="45">
        <v>6</v>
      </c>
      <c r="AC33" s="45">
        <v>6</v>
      </c>
      <c r="AD33" s="45">
        <v>6</v>
      </c>
      <c r="AE33" s="45">
        <v>12</v>
      </c>
      <c r="AF33" s="45">
        <v>12</v>
      </c>
      <c r="AG33" s="49">
        <v>20</v>
      </c>
      <c r="AH33" s="47">
        <f t="shared" si="2"/>
        <v>12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3.5</v>
      </c>
      <c r="J34" s="45">
        <v>3.5</v>
      </c>
      <c r="K34" s="45">
        <v>7</v>
      </c>
      <c r="L34" s="45">
        <v>7</v>
      </c>
      <c r="M34" s="45">
        <v>7</v>
      </c>
      <c r="N34" s="45">
        <v>7</v>
      </c>
      <c r="O34" s="45">
        <v>7</v>
      </c>
      <c r="P34" s="45">
        <v>7</v>
      </c>
      <c r="Q34" s="45">
        <v>7</v>
      </c>
      <c r="R34" s="45">
        <v>7</v>
      </c>
      <c r="S34" s="45">
        <v>7</v>
      </c>
      <c r="T34" s="45">
        <v>7</v>
      </c>
      <c r="U34" s="45">
        <v>7</v>
      </c>
      <c r="V34" s="45">
        <v>7</v>
      </c>
      <c r="W34" s="45">
        <v>7</v>
      </c>
      <c r="X34" s="45">
        <v>7</v>
      </c>
      <c r="Y34" s="45">
        <v>4</v>
      </c>
      <c r="Z34" s="45">
        <v>4</v>
      </c>
      <c r="AA34" s="45">
        <v>4</v>
      </c>
      <c r="AB34" s="45">
        <v>4</v>
      </c>
      <c r="AC34" s="45">
        <v>4</v>
      </c>
      <c r="AD34" s="45">
        <v>4</v>
      </c>
      <c r="AE34" s="45">
        <v>10</v>
      </c>
      <c r="AF34" s="45">
        <v>10</v>
      </c>
      <c r="AG34" s="49">
        <v>18</v>
      </c>
      <c r="AH34" s="47">
        <f t="shared" si="2"/>
        <v>10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7</v>
      </c>
      <c r="C37" s="45">
        <v>7</v>
      </c>
      <c r="D37" s="45">
        <v>7</v>
      </c>
      <c r="E37" s="45">
        <v>7</v>
      </c>
      <c r="F37" s="45">
        <v>7</v>
      </c>
      <c r="G37" s="45">
        <v>7</v>
      </c>
      <c r="H37" s="45">
        <v>7</v>
      </c>
      <c r="I37" s="45">
        <v>7</v>
      </c>
      <c r="J37" s="45">
        <v>7</v>
      </c>
      <c r="K37" s="45">
        <v>7</v>
      </c>
      <c r="L37" s="45">
        <v>7</v>
      </c>
      <c r="M37" s="45">
        <v>7</v>
      </c>
      <c r="N37" s="45">
        <v>7</v>
      </c>
      <c r="O37" s="45">
        <v>7</v>
      </c>
      <c r="P37" s="45">
        <v>7</v>
      </c>
      <c r="Q37" s="45">
        <v>7</v>
      </c>
      <c r="R37" s="45">
        <v>7</v>
      </c>
      <c r="S37" s="45">
        <v>7</v>
      </c>
      <c r="T37" s="45">
        <v>7</v>
      </c>
      <c r="U37" s="45">
        <v>7</v>
      </c>
      <c r="V37" s="45">
        <v>7</v>
      </c>
      <c r="W37" s="45">
        <v>7</v>
      </c>
      <c r="X37" s="45">
        <v>7</v>
      </c>
      <c r="Y37" s="45">
        <v>7</v>
      </c>
      <c r="Z37" s="45">
        <v>7</v>
      </c>
      <c r="AA37" s="45">
        <v>7</v>
      </c>
      <c r="AB37" s="45">
        <v>7</v>
      </c>
      <c r="AC37" s="45">
        <v>7</v>
      </c>
      <c r="AD37" s="45">
        <v>7</v>
      </c>
      <c r="AE37" s="45">
        <v>7</v>
      </c>
      <c r="AF37" s="45">
        <v>7</v>
      </c>
      <c r="AG37" s="49">
        <v>13.6</v>
      </c>
      <c r="AH37" s="47">
        <f t="shared" si="2"/>
        <v>7</v>
      </c>
      <c r="AI37" s="48">
        <f t="shared" si="3"/>
        <v>7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6</v>
      </c>
      <c r="D39" s="45">
        <v>4</v>
      </c>
      <c r="E39" s="45">
        <v>2</v>
      </c>
      <c r="F39" s="45">
        <v>2</v>
      </c>
      <c r="G39" s="45">
        <v>2</v>
      </c>
      <c r="H39" s="45">
        <v>4</v>
      </c>
      <c r="I39" s="45">
        <v>8</v>
      </c>
      <c r="J39" s="45">
        <v>8</v>
      </c>
      <c r="K39" s="45">
        <v>12</v>
      </c>
      <c r="L39" s="45">
        <v>12</v>
      </c>
      <c r="M39" s="45">
        <v>12</v>
      </c>
      <c r="N39" s="45">
        <v>12</v>
      </c>
      <c r="O39" s="45">
        <v>12</v>
      </c>
      <c r="P39" s="45">
        <v>12</v>
      </c>
      <c r="Q39" s="45">
        <v>12</v>
      </c>
      <c r="R39" s="45">
        <v>12</v>
      </c>
      <c r="S39" s="45">
        <v>12</v>
      </c>
      <c r="T39" s="45">
        <v>12</v>
      </c>
      <c r="U39" s="45">
        <v>12</v>
      </c>
      <c r="V39" s="45">
        <v>6</v>
      </c>
      <c r="W39" s="45">
        <v>6</v>
      </c>
      <c r="X39" s="45">
        <v>6</v>
      </c>
      <c r="Y39" s="45">
        <v>6</v>
      </c>
      <c r="Z39" s="45">
        <v>6</v>
      </c>
      <c r="AA39" s="45">
        <v>6</v>
      </c>
      <c r="AB39" s="45">
        <v>12</v>
      </c>
      <c r="AC39" s="45">
        <v>12</v>
      </c>
      <c r="AD39" s="45">
        <v>12</v>
      </c>
      <c r="AE39" s="45">
        <v>6</v>
      </c>
      <c r="AF39" s="45">
        <v>6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9</v>
      </c>
      <c r="Q45" s="45">
        <v>9</v>
      </c>
      <c r="R45" s="45">
        <v>9</v>
      </c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9</v>
      </c>
      <c r="AI45" s="48">
        <f t="shared" si="3"/>
        <v>9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131.9</v>
      </c>
      <c r="C49" s="56">
        <v>131.9</v>
      </c>
      <c r="D49" s="56">
        <v>132.5</v>
      </c>
      <c r="E49" s="56">
        <f>37.6+94.7</f>
        <v>132.30000000000001</v>
      </c>
      <c r="F49" s="58">
        <f>-94.5-37.4</f>
        <v>-131.9</v>
      </c>
      <c r="G49" s="58">
        <f>-94.5-37.4</f>
        <v>-131.9</v>
      </c>
      <c r="H49" s="58">
        <f>-37.2-94.1</f>
        <v>-131.30000000000001</v>
      </c>
      <c r="I49" s="58">
        <f>-36.9-93.4</f>
        <v>-130.30000000000001</v>
      </c>
      <c r="J49" s="58">
        <f>-35.6-89</f>
        <v>-124.6</v>
      </c>
      <c r="K49" s="58">
        <f>-36.6-92.8</f>
        <v>-129.4</v>
      </c>
      <c r="L49" s="58">
        <f>-35.3-89.2</f>
        <v>-124.5</v>
      </c>
      <c r="M49" s="58">
        <f>33.7+90.7</f>
        <v>124.4</v>
      </c>
      <c r="N49" s="58">
        <f>33.7+90.7</f>
        <v>124.4</v>
      </c>
      <c r="O49" s="58">
        <f>33.7+90.7</f>
        <v>124.4</v>
      </c>
      <c r="P49" s="58">
        <f>33.7+90.7</f>
        <v>124.4</v>
      </c>
      <c r="Q49" s="58">
        <f t="shared" ref="Q49:AF49" si="4">33.7+90.7</f>
        <v>124.4</v>
      </c>
      <c r="R49" s="58">
        <f t="shared" si="4"/>
        <v>124.4</v>
      </c>
      <c r="S49" s="58">
        <f t="shared" si="4"/>
        <v>124.4</v>
      </c>
      <c r="T49" s="58">
        <f t="shared" si="4"/>
        <v>124.4</v>
      </c>
      <c r="U49" s="58">
        <f t="shared" si="4"/>
        <v>124.4</v>
      </c>
      <c r="V49" s="58">
        <f t="shared" si="4"/>
        <v>124.4</v>
      </c>
      <c r="W49" s="58">
        <f t="shared" si="4"/>
        <v>124.4</v>
      </c>
      <c r="X49" s="58">
        <f t="shared" si="4"/>
        <v>124.4</v>
      </c>
      <c r="Y49" s="56">
        <f t="shared" si="4"/>
        <v>124.4</v>
      </c>
      <c r="Z49" s="56">
        <f t="shared" si="4"/>
        <v>124.4</v>
      </c>
      <c r="AA49" s="56">
        <f t="shared" si="4"/>
        <v>124.4</v>
      </c>
      <c r="AB49" s="56">
        <f t="shared" si="4"/>
        <v>124.4</v>
      </c>
      <c r="AC49" s="56">
        <f t="shared" si="4"/>
        <v>124.4</v>
      </c>
      <c r="AD49" s="56">
        <f t="shared" si="4"/>
        <v>124.4</v>
      </c>
      <c r="AE49" s="56">
        <f t="shared" si="4"/>
        <v>124.4</v>
      </c>
      <c r="AF49" s="56">
        <f t="shared" si="4"/>
        <v>124.4</v>
      </c>
      <c r="AG49" s="54">
        <v>240</v>
      </c>
      <c r="AH49" s="47">
        <f t="shared" si="2"/>
        <v>132.5</v>
      </c>
      <c r="AI49" s="48">
        <f t="shared" si="3"/>
        <v>-131.9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1141.9000000000001</v>
      </c>
      <c r="C50" s="60">
        <f t="shared" si="5"/>
        <v>1141.9000000000001</v>
      </c>
      <c r="D50" s="60">
        <f t="shared" si="5"/>
        <v>1125.5</v>
      </c>
      <c r="E50" s="60">
        <f t="shared" si="5"/>
        <v>1107.0999999999999</v>
      </c>
      <c r="F50" s="60">
        <f t="shared" si="5"/>
        <v>1107.7</v>
      </c>
      <c r="G50" s="60">
        <f t="shared" si="5"/>
        <v>1107.7</v>
      </c>
      <c r="H50" s="60">
        <f t="shared" si="5"/>
        <v>1128.6000000000001</v>
      </c>
      <c r="I50" s="60">
        <f t="shared" si="5"/>
        <v>1166.3000000000002</v>
      </c>
      <c r="J50" s="60">
        <f t="shared" si="5"/>
        <v>1166.3000000000002</v>
      </c>
      <c r="K50" s="60">
        <f t="shared" si="5"/>
        <v>1203.3000000000002</v>
      </c>
      <c r="L50" s="60">
        <f t="shared" si="5"/>
        <v>1203.3000000000002</v>
      </c>
      <c r="M50" s="60">
        <f t="shared" ref="M50" si="6">SUM(M11:M48)</f>
        <v>1208</v>
      </c>
      <c r="N50" s="60">
        <f t="shared" si="5"/>
        <v>1208</v>
      </c>
      <c r="O50" s="60">
        <f t="shared" si="5"/>
        <v>1200</v>
      </c>
      <c r="P50" s="60">
        <f t="shared" si="5"/>
        <v>1183.0999999999999</v>
      </c>
      <c r="Q50" s="60">
        <f t="shared" si="5"/>
        <v>1183.0999999999999</v>
      </c>
      <c r="R50" s="60">
        <f t="shared" si="5"/>
        <v>1183.0999999999999</v>
      </c>
      <c r="S50" s="60">
        <f t="shared" ref="S50:T50" si="7">SUM(S11:S48)</f>
        <v>1183.0999999999999</v>
      </c>
      <c r="T50" s="60">
        <f t="shared" si="7"/>
        <v>1183.0999999999999</v>
      </c>
      <c r="U50" s="60">
        <f t="shared" ref="U50:V50" si="8">SUM(U11:U48)</f>
        <v>1183.0999999999999</v>
      </c>
      <c r="V50" s="60">
        <f t="shared" si="8"/>
        <v>1153.4000000000001</v>
      </c>
      <c r="W50" s="60">
        <f t="shared" ref="W50:Y50" si="9">SUM(W11:W48)</f>
        <v>1153.4000000000001</v>
      </c>
      <c r="X50" s="60">
        <f t="shared" si="9"/>
        <v>1153.4000000000001</v>
      </c>
      <c r="Y50" s="60">
        <f t="shared" si="9"/>
        <v>1177.5999999999999</v>
      </c>
      <c r="Z50" s="60">
        <f t="shared" ref="Z50:AA50" si="10">SUM(Z11:Z48)</f>
        <v>1177.5999999999999</v>
      </c>
      <c r="AA50" s="60">
        <f t="shared" si="10"/>
        <v>1177.5999999999999</v>
      </c>
      <c r="AB50" s="60">
        <f t="shared" si="5"/>
        <v>1197.0999999999999</v>
      </c>
      <c r="AC50" s="60">
        <f t="shared" si="5"/>
        <v>1202.0999999999999</v>
      </c>
      <c r="AD50" s="60">
        <f t="shared" si="5"/>
        <v>1204.0999999999999</v>
      </c>
      <c r="AE50" s="60">
        <f t="shared" si="5"/>
        <v>1179.0999999999999</v>
      </c>
      <c r="AF50" s="60">
        <f t="shared" si="5"/>
        <v>1179.0999999999999</v>
      </c>
      <c r="AG50" s="61">
        <f>SUM(AG13:AG48)</f>
        <v>922.14</v>
      </c>
      <c r="AH50" s="47">
        <f t="shared" si="2"/>
        <v>1208</v>
      </c>
      <c r="AI50" s="48">
        <f t="shared" si="3"/>
        <v>1107.0999999999999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11">SUM(B51:B53)</f>
        <v>538</v>
      </c>
      <c r="C54" s="60">
        <f t="shared" si="11"/>
        <v>538</v>
      </c>
      <c r="D54" s="60">
        <f t="shared" si="11"/>
        <v>538</v>
      </c>
      <c r="E54" s="60">
        <f t="shared" si="11"/>
        <v>538</v>
      </c>
      <c r="F54" s="60">
        <f t="shared" si="11"/>
        <v>538</v>
      </c>
      <c r="G54" s="60">
        <f t="shared" si="11"/>
        <v>538</v>
      </c>
      <c r="H54" s="60">
        <f t="shared" si="11"/>
        <v>538</v>
      </c>
      <c r="I54" s="60">
        <f t="shared" si="11"/>
        <v>538</v>
      </c>
      <c r="J54" s="60">
        <f t="shared" si="11"/>
        <v>538</v>
      </c>
      <c r="K54" s="60">
        <f t="shared" si="11"/>
        <v>538.4</v>
      </c>
      <c r="L54" s="60">
        <f t="shared" si="11"/>
        <v>538.4</v>
      </c>
      <c r="M54" s="60">
        <f t="shared" ref="M54" si="12">SUM(M51:M53)</f>
        <v>538.4</v>
      </c>
      <c r="N54" s="60">
        <f t="shared" si="11"/>
        <v>538.4</v>
      </c>
      <c r="O54" s="60">
        <f t="shared" si="11"/>
        <v>538.4</v>
      </c>
      <c r="P54" s="60">
        <f t="shared" si="11"/>
        <v>538.4</v>
      </c>
      <c r="Q54" s="60">
        <f t="shared" si="11"/>
        <v>538.4</v>
      </c>
      <c r="R54" s="60">
        <f t="shared" si="11"/>
        <v>538.4</v>
      </c>
      <c r="S54" s="60">
        <f t="shared" ref="S54:T54" si="13">SUM(S51:S53)</f>
        <v>538.4</v>
      </c>
      <c r="T54" s="60">
        <f t="shared" si="13"/>
        <v>538.4</v>
      </c>
      <c r="U54" s="60">
        <f t="shared" ref="U54:V54" si="14">SUM(U51:U53)</f>
        <v>538.4</v>
      </c>
      <c r="V54" s="60">
        <f t="shared" si="14"/>
        <v>538.4</v>
      </c>
      <c r="W54" s="60">
        <f t="shared" ref="W54:Y54" si="15">SUM(W51:W53)</f>
        <v>538.4</v>
      </c>
      <c r="X54" s="60">
        <f t="shared" si="15"/>
        <v>538.4</v>
      </c>
      <c r="Y54" s="60">
        <f t="shared" si="15"/>
        <v>538.4</v>
      </c>
      <c r="Z54" s="60">
        <f t="shared" ref="Z54:AA54" si="16">SUM(Z51:Z53)</f>
        <v>538.4</v>
      </c>
      <c r="AA54" s="60">
        <f t="shared" si="16"/>
        <v>538.4</v>
      </c>
      <c r="AB54" s="60">
        <f t="shared" si="11"/>
        <v>538.4</v>
      </c>
      <c r="AC54" s="60">
        <f t="shared" si="11"/>
        <v>538.4</v>
      </c>
      <c r="AD54" s="60">
        <f t="shared" si="11"/>
        <v>538.4</v>
      </c>
      <c r="AE54" s="60">
        <f t="shared" si="11"/>
        <v>538.4</v>
      </c>
      <c r="AF54" s="60">
        <f t="shared" si="11"/>
        <v>538.4</v>
      </c>
      <c r="AG54" s="61">
        <f t="shared" si="11"/>
        <v>538.1</v>
      </c>
      <c r="AH54" s="47">
        <f t="shared" si="2"/>
        <v>538.4</v>
      </c>
      <c r="AI54" s="48">
        <f t="shared" si="3"/>
        <v>538</v>
      </c>
      <c r="AK54" s="50"/>
    </row>
    <row r="55" spans="1:41" x14ac:dyDescent="0.25">
      <c r="A55" s="44" t="s">
        <v>63</v>
      </c>
      <c r="B55" s="45">
        <v>142.4</v>
      </c>
      <c r="C55" s="45">
        <v>142.4</v>
      </c>
      <c r="D55" s="45">
        <v>142.4</v>
      </c>
      <c r="E55" s="45">
        <v>145.69999999999999</v>
      </c>
      <c r="F55" s="45">
        <v>145.6</v>
      </c>
      <c r="G55" s="45">
        <v>145.5</v>
      </c>
      <c r="H55" s="45">
        <v>143.9</v>
      </c>
      <c r="I55" s="45">
        <v>145.80000000000001</v>
      </c>
      <c r="J55" s="45">
        <v>145.80000000000001</v>
      </c>
      <c r="K55" s="45">
        <v>146.1</v>
      </c>
      <c r="L55" s="45">
        <v>145.9</v>
      </c>
      <c r="M55" s="45">
        <v>146.30000000000001</v>
      </c>
      <c r="N55" s="45">
        <v>146.30000000000001</v>
      </c>
      <c r="O55" s="45">
        <v>146.30000000000001</v>
      </c>
      <c r="P55" s="45">
        <v>146.30000000000001</v>
      </c>
      <c r="Q55" s="45">
        <v>146.30000000000001</v>
      </c>
      <c r="R55" s="45">
        <v>146.30000000000001</v>
      </c>
      <c r="S55" s="45">
        <v>146.30000000000001</v>
      </c>
      <c r="T55" s="45">
        <v>146.30000000000001</v>
      </c>
      <c r="U55" s="45">
        <v>146.30000000000001</v>
      </c>
      <c r="V55" s="45">
        <v>146.30000000000001</v>
      </c>
      <c r="W55" s="45">
        <v>146.30000000000001</v>
      </c>
      <c r="X55" s="45">
        <v>146.30000000000001</v>
      </c>
      <c r="Y55" s="45">
        <v>146.30000000000001</v>
      </c>
      <c r="Z55" s="45">
        <v>146.30000000000001</v>
      </c>
      <c r="AA55" s="45">
        <v>146.30000000000001</v>
      </c>
      <c r="AB55" s="45">
        <v>146.30000000000001</v>
      </c>
      <c r="AC55" s="45">
        <v>146.30000000000001</v>
      </c>
      <c r="AD55" s="45">
        <v>146.30000000000001</v>
      </c>
      <c r="AE55" s="45">
        <v>146.30000000000001</v>
      </c>
      <c r="AF55" s="45">
        <v>146.30000000000001</v>
      </c>
      <c r="AG55" s="51">
        <v>144</v>
      </c>
      <c r="AH55" s="47">
        <f t="shared" si="2"/>
        <v>146.30000000000001</v>
      </c>
      <c r="AI55" s="48">
        <f t="shared" si="3"/>
        <v>142.4</v>
      </c>
      <c r="AK55" s="50"/>
    </row>
    <row r="56" spans="1:41" x14ac:dyDescent="0.25">
      <c r="A56" s="53" t="s">
        <v>64</v>
      </c>
      <c r="B56" s="64">
        <v>70.2</v>
      </c>
      <c r="C56" s="64">
        <v>70.2</v>
      </c>
      <c r="D56" s="64">
        <v>70.2</v>
      </c>
      <c r="E56" s="64">
        <v>70.099999999999994</v>
      </c>
      <c r="F56" s="64">
        <v>70.599999999999994</v>
      </c>
      <c r="G56" s="64">
        <v>70.8</v>
      </c>
      <c r="H56" s="64">
        <v>71</v>
      </c>
      <c r="I56" s="64">
        <v>70.7</v>
      </c>
      <c r="J56" s="64">
        <v>70.3</v>
      </c>
      <c r="K56" s="64">
        <v>72</v>
      </c>
      <c r="L56" s="64">
        <v>70.099999999999994</v>
      </c>
      <c r="M56" s="64">
        <v>69.900000000000006</v>
      </c>
      <c r="N56" s="64">
        <v>69.900000000000006</v>
      </c>
      <c r="O56" s="64">
        <v>69.900000000000006</v>
      </c>
      <c r="P56" s="64">
        <v>69.900000000000006</v>
      </c>
      <c r="Q56" s="64">
        <v>69.900000000000006</v>
      </c>
      <c r="R56" s="64">
        <v>69.900000000000006</v>
      </c>
      <c r="S56" s="64">
        <v>69.900000000000006</v>
      </c>
      <c r="T56" s="64">
        <v>69.900000000000006</v>
      </c>
      <c r="U56" s="64">
        <v>60</v>
      </c>
      <c r="V56" s="64">
        <v>60</v>
      </c>
      <c r="W56" s="64">
        <v>60</v>
      </c>
      <c r="X56" s="64">
        <v>60</v>
      </c>
      <c r="Y56" s="45">
        <v>70.400000000000006</v>
      </c>
      <c r="Z56" s="45">
        <v>70.400000000000006</v>
      </c>
      <c r="AA56" s="45">
        <v>70.400000000000006</v>
      </c>
      <c r="AB56" s="45">
        <v>70.400000000000006</v>
      </c>
      <c r="AC56" s="45">
        <v>70.400000000000006</v>
      </c>
      <c r="AD56" s="45">
        <v>70.400000000000006</v>
      </c>
      <c r="AE56" s="45">
        <v>61.5</v>
      </c>
      <c r="AF56" s="45">
        <v>70.2</v>
      </c>
      <c r="AG56" s="54">
        <v>70</v>
      </c>
      <c r="AH56" s="47">
        <f t="shared" si="2"/>
        <v>72</v>
      </c>
      <c r="AI56" s="48">
        <f t="shared" si="3"/>
        <v>60</v>
      </c>
      <c r="AK56" s="50"/>
    </row>
    <row r="57" spans="1:41" x14ac:dyDescent="0.25">
      <c r="A57" s="53" t="s">
        <v>65</v>
      </c>
      <c r="B57" s="64">
        <v>65.3</v>
      </c>
      <c r="C57" s="64">
        <v>65.3</v>
      </c>
      <c r="D57" s="64">
        <v>65.3</v>
      </c>
      <c r="E57" s="64">
        <v>65.7</v>
      </c>
      <c r="F57" s="64">
        <v>65.8</v>
      </c>
      <c r="G57" s="64">
        <v>65.599999999999994</v>
      </c>
      <c r="H57" s="64">
        <v>66.099999999999994</v>
      </c>
      <c r="I57" s="64">
        <v>65.599999999999994</v>
      </c>
      <c r="J57" s="64">
        <v>65.7</v>
      </c>
      <c r="K57" s="64">
        <v>65.7</v>
      </c>
      <c r="L57" s="64">
        <v>66.099999999999994</v>
      </c>
      <c r="M57" s="64">
        <v>66.099999999999994</v>
      </c>
      <c r="N57" s="64">
        <v>66.099999999999994</v>
      </c>
      <c r="O57" s="64">
        <v>66.099999999999994</v>
      </c>
      <c r="P57" s="64">
        <v>66.099999999999994</v>
      </c>
      <c r="Q57" s="64">
        <v>66.099999999999994</v>
      </c>
      <c r="R57" s="64">
        <v>66.099999999999994</v>
      </c>
      <c r="S57" s="64">
        <v>66.099999999999994</v>
      </c>
      <c r="T57" s="64">
        <v>66.099999999999994</v>
      </c>
      <c r="U57" s="64">
        <v>50</v>
      </c>
      <c r="V57" s="64">
        <v>50</v>
      </c>
      <c r="W57" s="64">
        <v>50</v>
      </c>
      <c r="X57" s="64">
        <v>50</v>
      </c>
      <c r="Y57" s="45">
        <v>65.599999999999994</v>
      </c>
      <c r="Z57" s="45">
        <v>65.599999999999994</v>
      </c>
      <c r="AA57" s="45">
        <v>65.599999999999994</v>
      </c>
      <c r="AB57" s="45">
        <v>65.599999999999994</v>
      </c>
      <c r="AC57" s="45">
        <v>65.599999999999994</v>
      </c>
      <c r="AD57" s="45">
        <v>65.599999999999994</v>
      </c>
      <c r="AE57" s="45">
        <v>60</v>
      </c>
      <c r="AF57" s="45">
        <v>67.099999999999994</v>
      </c>
      <c r="AG57" s="54">
        <v>69</v>
      </c>
      <c r="AH57" s="47">
        <f t="shared" si="2"/>
        <v>67.099999999999994</v>
      </c>
      <c r="AI57" s="48">
        <f t="shared" si="3"/>
        <v>50</v>
      </c>
      <c r="AK57" s="50"/>
    </row>
    <row r="58" spans="1:41" x14ac:dyDescent="0.25">
      <c r="A58" s="53" t="s">
        <v>66</v>
      </c>
      <c r="B58" s="64">
        <v>60</v>
      </c>
      <c r="C58" s="64">
        <v>60</v>
      </c>
      <c r="D58" s="64">
        <v>60</v>
      </c>
      <c r="E58" s="56">
        <v>62</v>
      </c>
      <c r="F58" s="56">
        <v>62</v>
      </c>
      <c r="G58" s="56">
        <v>62</v>
      </c>
      <c r="H58" s="56">
        <v>62</v>
      </c>
      <c r="I58" s="56">
        <v>62</v>
      </c>
      <c r="J58" s="56">
        <v>62</v>
      </c>
      <c r="K58" s="56">
        <v>59.2</v>
      </c>
      <c r="L58" s="56">
        <v>58.2</v>
      </c>
      <c r="M58" s="56">
        <v>58.2</v>
      </c>
      <c r="N58" s="56">
        <v>58.2</v>
      </c>
      <c r="O58" s="56">
        <v>58.2</v>
      </c>
      <c r="P58" s="56">
        <v>58.2</v>
      </c>
      <c r="Q58" s="56">
        <v>58.2</v>
      </c>
      <c r="R58" s="56">
        <v>58.2</v>
      </c>
      <c r="S58" s="56">
        <v>58.2</v>
      </c>
      <c r="T58" s="56">
        <v>58.2</v>
      </c>
      <c r="U58" s="56">
        <v>58.2</v>
      </c>
      <c r="V58" s="56">
        <v>58.2</v>
      </c>
      <c r="W58" s="56">
        <v>58.2</v>
      </c>
      <c r="X58" s="56">
        <v>58.2</v>
      </c>
      <c r="Y58" s="45">
        <v>60.4</v>
      </c>
      <c r="Z58" s="45">
        <v>60.4</v>
      </c>
      <c r="AA58" s="45">
        <v>60.4</v>
      </c>
      <c r="AB58" s="45">
        <v>60.4</v>
      </c>
      <c r="AC58" s="45">
        <v>60.4</v>
      </c>
      <c r="AD58" s="45">
        <v>60.4</v>
      </c>
      <c r="AE58" s="45">
        <v>62</v>
      </c>
      <c r="AF58" s="45">
        <v>61.7</v>
      </c>
      <c r="AG58" s="54">
        <v>60</v>
      </c>
      <c r="AH58" s="47">
        <f t="shared" si="2"/>
        <v>62</v>
      </c>
      <c r="AI58" s="48">
        <f t="shared" si="3"/>
        <v>58.2</v>
      </c>
      <c r="AK58" s="50"/>
    </row>
    <row r="59" spans="1:41" x14ac:dyDescent="0.25">
      <c r="A59" s="53" t="s">
        <v>67</v>
      </c>
      <c r="B59" s="64">
        <v>28</v>
      </c>
      <c r="C59" s="64">
        <v>28</v>
      </c>
      <c r="D59" s="64">
        <v>28</v>
      </c>
      <c r="E59" s="56">
        <v>30</v>
      </c>
      <c r="F59" s="56">
        <v>30</v>
      </c>
      <c r="G59" s="56">
        <v>30</v>
      </c>
      <c r="H59" s="56">
        <v>30</v>
      </c>
      <c r="I59" s="56">
        <v>30</v>
      </c>
      <c r="J59" s="56">
        <v>30</v>
      </c>
      <c r="K59" s="56">
        <v>30</v>
      </c>
      <c r="L59" s="56">
        <v>30</v>
      </c>
      <c r="M59" s="56">
        <v>30</v>
      </c>
      <c r="N59" s="56">
        <v>30</v>
      </c>
      <c r="O59" s="56">
        <v>30</v>
      </c>
      <c r="P59" s="56">
        <v>30</v>
      </c>
      <c r="Q59" s="56">
        <v>30</v>
      </c>
      <c r="R59" s="56">
        <v>30</v>
      </c>
      <c r="S59" s="56">
        <v>30</v>
      </c>
      <c r="T59" s="56">
        <v>30</v>
      </c>
      <c r="U59" s="56">
        <v>30</v>
      </c>
      <c r="V59" s="56">
        <v>30</v>
      </c>
      <c r="W59" s="56">
        <v>30</v>
      </c>
      <c r="X59" s="56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28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0.3</v>
      </c>
      <c r="K60" s="64">
        <v>1.1000000000000001</v>
      </c>
      <c r="L60" s="64">
        <v>2.8</v>
      </c>
      <c r="M60" s="64">
        <v>6.8</v>
      </c>
      <c r="N60" s="64">
        <v>6.8</v>
      </c>
      <c r="O60" s="64">
        <v>6.8</v>
      </c>
      <c r="P60" s="64">
        <v>6.8</v>
      </c>
      <c r="Q60" s="64">
        <v>6.8</v>
      </c>
      <c r="R60" s="64">
        <v>6.8</v>
      </c>
      <c r="S60" s="64">
        <v>6.8</v>
      </c>
      <c r="T60" s="64">
        <v>3.9</v>
      </c>
      <c r="U60" s="64">
        <v>2.4</v>
      </c>
      <c r="V60" s="64">
        <v>0.6</v>
      </c>
      <c r="W60" s="64">
        <v>0.6</v>
      </c>
      <c r="X60" s="64">
        <v>0.6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6.8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8.5</v>
      </c>
      <c r="C63" s="64">
        <v>8.5</v>
      </c>
      <c r="D63" s="64">
        <v>8.5</v>
      </c>
      <c r="E63" s="64">
        <v>8.5</v>
      </c>
      <c r="F63" s="64">
        <v>8.4</v>
      </c>
      <c r="G63" s="64">
        <v>8.4</v>
      </c>
      <c r="H63" s="64">
        <v>8.4</v>
      </c>
      <c r="I63" s="64">
        <v>8.4</v>
      </c>
      <c r="J63" s="64">
        <v>8.4</v>
      </c>
      <c r="K63" s="64">
        <v>8.4</v>
      </c>
      <c r="L63" s="64">
        <v>8.4</v>
      </c>
      <c r="M63" s="64">
        <v>8.5</v>
      </c>
      <c r="N63" s="64">
        <v>8.5</v>
      </c>
      <c r="O63" s="64">
        <v>8.5</v>
      </c>
      <c r="P63" s="64">
        <v>8.5</v>
      </c>
      <c r="Q63" s="64">
        <v>8.5</v>
      </c>
      <c r="R63" s="64">
        <v>8.5</v>
      </c>
      <c r="S63" s="64">
        <v>8.5</v>
      </c>
      <c r="T63" s="64">
        <v>8.5</v>
      </c>
      <c r="U63" s="64">
        <v>8.5</v>
      </c>
      <c r="V63" s="64">
        <v>8.5</v>
      </c>
      <c r="W63" s="64">
        <v>8.5</v>
      </c>
      <c r="X63" s="64">
        <v>8.5</v>
      </c>
      <c r="Y63" s="64">
        <v>9.3000000000000007</v>
      </c>
      <c r="Z63" s="64">
        <v>9.3000000000000007</v>
      </c>
      <c r="AA63" s="64">
        <v>9.3000000000000007</v>
      </c>
      <c r="AB63" s="64">
        <v>9.3000000000000007</v>
      </c>
      <c r="AC63" s="64">
        <v>9.3000000000000007</v>
      </c>
      <c r="AD63" s="64">
        <v>9.3000000000000007</v>
      </c>
      <c r="AE63" s="64">
        <v>9.3000000000000007</v>
      </c>
      <c r="AF63" s="64">
        <v>9.3000000000000007</v>
      </c>
      <c r="AG63" s="54">
        <v>14.1</v>
      </c>
      <c r="AH63" s="47">
        <f t="shared" si="2"/>
        <v>9.3000000000000007</v>
      </c>
      <c r="AI63" s="48">
        <f t="shared" si="3"/>
        <v>8.4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12</v>
      </c>
      <c r="C64" s="64">
        <v>12</v>
      </c>
      <c r="D64" s="64">
        <v>8.8000000000000007</v>
      </c>
      <c r="E64" s="64">
        <v>8.8000000000000007</v>
      </c>
      <c r="F64" s="64">
        <v>8.8000000000000007</v>
      </c>
      <c r="G64" s="64">
        <v>8.8000000000000007</v>
      </c>
      <c r="H64" s="64">
        <v>8.8000000000000007</v>
      </c>
      <c r="I64" s="64">
        <v>8.8000000000000007</v>
      </c>
      <c r="J64" s="64">
        <v>8.8000000000000007</v>
      </c>
      <c r="K64" s="64">
        <v>8.8000000000000007</v>
      </c>
      <c r="L64" s="64">
        <v>8.8000000000000007</v>
      </c>
      <c r="M64" s="64">
        <v>13.6</v>
      </c>
      <c r="N64" s="64">
        <v>13.6</v>
      </c>
      <c r="O64" s="64">
        <v>13.6</v>
      </c>
      <c r="P64" s="64">
        <v>13.6</v>
      </c>
      <c r="Q64" s="64">
        <v>13.6</v>
      </c>
      <c r="R64" s="64">
        <v>13.6</v>
      </c>
      <c r="S64" s="64">
        <v>13.6</v>
      </c>
      <c r="T64" s="64">
        <v>13.6</v>
      </c>
      <c r="U64" s="64">
        <v>13.6</v>
      </c>
      <c r="V64" s="64">
        <v>13.6</v>
      </c>
      <c r="W64" s="64">
        <v>13.6</v>
      </c>
      <c r="X64" s="64">
        <v>13.6</v>
      </c>
      <c r="Y64" s="64">
        <v>13.6</v>
      </c>
      <c r="Z64" s="64">
        <v>13.6</v>
      </c>
      <c r="AA64" s="64">
        <v>13.6</v>
      </c>
      <c r="AB64" s="64">
        <v>10</v>
      </c>
      <c r="AC64" s="64">
        <v>10</v>
      </c>
      <c r="AD64" s="64">
        <v>10</v>
      </c>
      <c r="AE64" s="64">
        <v>10</v>
      </c>
      <c r="AF64" s="64">
        <v>10.1</v>
      </c>
      <c r="AG64" s="54">
        <v>14</v>
      </c>
      <c r="AH64" s="47">
        <f t="shared" si="2"/>
        <v>13.6</v>
      </c>
      <c r="AI64" s="48">
        <f t="shared" si="3"/>
        <v>8.8000000000000007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7">SUM(B55:B67)</f>
        <v>425.14000000000004</v>
      </c>
      <c r="C68" s="60">
        <f t="shared" si="17"/>
        <v>425.14000000000004</v>
      </c>
      <c r="D68" s="60">
        <f t="shared" si="17"/>
        <v>421.94000000000005</v>
      </c>
      <c r="E68" s="60">
        <f t="shared" si="17"/>
        <v>429.54</v>
      </c>
      <c r="F68" s="60">
        <f t="shared" si="17"/>
        <v>429.94</v>
      </c>
      <c r="G68" s="60">
        <f t="shared" si="17"/>
        <v>429.84</v>
      </c>
      <c r="H68" s="60">
        <f t="shared" si="17"/>
        <v>428.94</v>
      </c>
      <c r="I68" s="60">
        <f t="shared" si="17"/>
        <v>430.04</v>
      </c>
      <c r="J68" s="60">
        <f t="shared" si="17"/>
        <v>430.04</v>
      </c>
      <c r="K68" s="60">
        <f t="shared" si="17"/>
        <v>430.04</v>
      </c>
      <c r="L68" s="60">
        <f t="shared" si="17"/>
        <v>429.04</v>
      </c>
      <c r="M68" s="60">
        <f t="shared" ref="M68" si="18">SUM(M55:M67)</f>
        <v>438.14000000000004</v>
      </c>
      <c r="N68" s="60">
        <f t="shared" si="17"/>
        <v>438.14000000000004</v>
      </c>
      <c r="O68" s="60">
        <f t="shared" si="17"/>
        <v>438.14000000000004</v>
      </c>
      <c r="P68" s="60">
        <f t="shared" si="17"/>
        <v>438.14000000000004</v>
      </c>
      <c r="Q68" s="60">
        <f t="shared" si="17"/>
        <v>438.14000000000004</v>
      </c>
      <c r="R68" s="60">
        <f t="shared" si="17"/>
        <v>438.14000000000004</v>
      </c>
      <c r="S68" s="60">
        <f t="shared" ref="S68:T68" si="19">SUM(S55:S67)</f>
        <v>438.14000000000004</v>
      </c>
      <c r="T68" s="60">
        <f t="shared" si="19"/>
        <v>435.24</v>
      </c>
      <c r="U68" s="60">
        <f t="shared" ref="U68:V68" si="20">SUM(U55:U67)</f>
        <v>407.74</v>
      </c>
      <c r="V68" s="60">
        <f t="shared" si="20"/>
        <v>405.94000000000005</v>
      </c>
      <c r="W68" s="60">
        <f t="shared" ref="W68:Y68" si="21">SUM(W55:W67)</f>
        <v>405.94000000000005</v>
      </c>
      <c r="X68" s="60">
        <f t="shared" si="21"/>
        <v>405.94000000000005</v>
      </c>
      <c r="Y68" s="60">
        <f t="shared" si="21"/>
        <v>434.34000000000003</v>
      </c>
      <c r="Z68" s="60">
        <f t="shared" ref="Z68:AA68" si="22">SUM(Z55:Z67)</f>
        <v>434.34000000000003</v>
      </c>
      <c r="AA68" s="60">
        <f t="shared" si="22"/>
        <v>434.34000000000003</v>
      </c>
      <c r="AB68" s="60">
        <f t="shared" si="17"/>
        <v>430.74</v>
      </c>
      <c r="AC68" s="60">
        <f t="shared" si="17"/>
        <v>430.74</v>
      </c>
      <c r="AD68" s="60">
        <f t="shared" si="17"/>
        <v>430.74</v>
      </c>
      <c r="AE68" s="60">
        <f t="shared" si="17"/>
        <v>417.84000000000003</v>
      </c>
      <c r="AF68" s="60">
        <f t="shared" si="17"/>
        <v>433.44000000000005</v>
      </c>
      <c r="AG68" s="61">
        <f t="shared" si="17"/>
        <v>489.91</v>
      </c>
      <c r="AH68" s="47">
        <f t="shared" si="2"/>
        <v>438.14000000000004</v>
      </c>
      <c r="AI68" s="48">
        <f t="shared" si="3"/>
        <v>405.94000000000005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>
        <v>10</v>
      </c>
      <c r="P69" s="45">
        <v>10</v>
      </c>
      <c r="Q69" s="45">
        <v>10</v>
      </c>
      <c r="R69" s="45">
        <v>10</v>
      </c>
      <c r="S69" s="45">
        <v>11</v>
      </c>
      <c r="T69" s="45">
        <v>11.5</v>
      </c>
      <c r="U69" s="45">
        <v>11.5</v>
      </c>
      <c r="V69" s="45">
        <v>14.7</v>
      </c>
      <c r="W69" s="45">
        <v>14.7</v>
      </c>
      <c r="X69" s="45">
        <v>43.3</v>
      </c>
      <c r="Y69" s="45">
        <v>59.3</v>
      </c>
      <c r="Z69" s="45">
        <v>59.3</v>
      </c>
      <c r="AA69" s="45">
        <v>49.4</v>
      </c>
      <c r="AB69" s="45">
        <v>14.2</v>
      </c>
      <c r="AC69" s="45">
        <v>14.2</v>
      </c>
      <c r="AD69" s="45">
        <v>14.2</v>
      </c>
      <c r="AE69" s="45">
        <v>0</v>
      </c>
      <c r="AF69" s="45">
        <v>0</v>
      </c>
      <c r="AG69" s="51">
        <v>60</v>
      </c>
      <c r="AH69" s="47">
        <f t="shared" si="2"/>
        <v>59.3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>
        <v>4</v>
      </c>
      <c r="L70" s="64"/>
      <c r="M70" s="64"/>
      <c r="N70" s="64"/>
      <c r="O70" s="64">
        <v>4</v>
      </c>
      <c r="P70" s="64">
        <v>4</v>
      </c>
      <c r="Q70" s="64">
        <v>4</v>
      </c>
      <c r="R70" s="64">
        <v>4</v>
      </c>
      <c r="S70" s="64">
        <v>5.4</v>
      </c>
      <c r="T70" s="64">
        <v>4.9000000000000004</v>
      </c>
      <c r="U70" s="64">
        <v>4.9000000000000004</v>
      </c>
      <c r="V70" s="64">
        <v>4.8</v>
      </c>
      <c r="W70" s="64">
        <v>4.8</v>
      </c>
      <c r="X70" s="64">
        <v>20.3</v>
      </c>
      <c r="Y70" s="64">
        <v>28.8</v>
      </c>
      <c r="Z70" s="64">
        <v>28.8</v>
      </c>
      <c r="AA70" s="64">
        <v>28.7</v>
      </c>
      <c r="AB70" s="64">
        <v>7.2</v>
      </c>
      <c r="AC70" s="64">
        <v>7.2</v>
      </c>
      <c r="AD70" s="64">
        <v>5.9</v>
      </c>
      <c r="AE70" s="64">
        <v>0</v>
      </c>
      <c r="AF70" s="64">
        <v>0</v>
      </c>
      <c r="AG70" s="54">
        <v>32</v>
      </c>
      <c r="AH70" s="47">
        <f t="shared" si="2"/>
        <v>28.8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>
        <v>2</v>
      </c>
      <c r="P71" s="66">
        <v>2</v>
      </c>
      <c r="Q71" s="66">
        <v>2</v>
      </c>
      <c r="R71" s="66">
        <v>2</v>
      </c>
      <c r="S71" s="66">
        <v>2</v>
      </c>
      <c r="T71" s="66">
        <v>1.8</v>
      </c>
      <c r="U71" s="66">
        <v>1.8</v>
      </c>
      <c r="V71" s="66">
        <v>1.7</v>
      </c>
      <c r="W71" s="66">
        <v>1.7</v>
      </c>
      <c r="X71" s="66">
        <v>7.4</v>
      </c>
      <c r="Y71" s="66">
        <v>10.5</v>
      </c>
      <c r="Z71" s="66">
        <v>10.5</v>
      </c>
      <c r="AA71" s="66">
        <v>10.5</v>
      </c>
      <c r="AB71" s="66">
        <v>2.6</v>
      </c>
      <c r="AC71" s="66">
        <v>2.6</v>
      </c>
      <c r="AD71" s="66">
        <v>2.2000000000000002</v>
      </c>
      <c r="AE71" s="66">
        <v>0</v>
      </c>
      <c r="AF71" s="66">
        <v>0</v>
      </c>
      <c r="AG71" s="67">
        <v>14</v>
      </c>
      <c r="AH71" s="47">
        <f t="shared" si="2"/>
        <v>10.5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>M69+M70+M71</f>
        <v>0</v>
      </c>
      <c r="N72" s="60">
        <f t="shared" ref="N72:AF72" si="23">N69+N70+N71</f>
        <v>0</v>
      </c>
      <c r="O72" s="60">
        <f t="shared" si="23"/>
        <v>16</v>
      </c>
      <c r="P72" s="60">
        <f t="shared" si="23"/>
        <v>16</v>
      </c>
      <c r="Q72" s="60">
        <f t="shared" si="23"/>
        <v>16</v>
      </c>
      <c r="R72" s="60">
        <f t="shared" si="23"/>
        <v>16</v>
      </c>
      <c r="S72" s="60">
        <f t="shared" ref="S72:T72" si="24">S69+S70+S71</f>
        <v>18.399999999999999</v>
      </c>
      <c r="T72" s="60">
        <f t="shared" si="24"/>
        <v>18.2</v>
      </c>
      <c r="U72" s="60">
        <f t="shared" ref="U72:V72" si="25">U69+U70+U71</f>
        <v>18.2</v>
      </c>
      <c r="V72" s="60">
        <f t="shared" si="25"/>
        <v>21.2</v>
      </c>
      <c r="W72" s="60">
        <f t="shared" ref="W72:Y72" si="26">W69+W70+W71</f>
        <v>21.2</v>
      </c>
      <c r="X72" s="60">
        <f t="shared" si="26"/>
        <v>71</v>
      </c>
      <c r="Y72" s="60">
        <f t="shared" si="26"/>
        <v>98.6</v>
      </c>
      <c r="Z72" s="60">
        <f t="shared" ref="Z72:AA72" si="27">Z69+Z70+Z71</f>
        <v>98.6</v>
      </c>
      <c r="AA72" s="60">
        <f t="shared" si="27"/>
        <v>88.6</v>
      </c>
      <c r="AB72" s="60">
        <f t="shared" si="23"/>
        <v>24</v>
      </c>
      <c r="AC72" s="60">
        <f t="shared" si="23"/>
        <v>24</v>
      </c>
      <c r="AD72" s="60">
        <f t="shared" si="23"/>
        <v>22.3</v>
      </c>
      <c r="AE72" s="60">
        <f t="shared" si="23"/>
        <v>0</v>
      </c>
      <c r="AF72" s="60">
        <f t="shared" si="23"/>
        <v>0</v>
      </c>
      <c r="AG72" s="61">
        <f>SUM(AG69:AG71)</f>
        <v>106</v>
      </c>
      <c r="AH72" s="47">
        <f t="shared" si="2"/>
        <v>98.6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-54.1</v>
      </c>
      <c r="C73" s="45">
        <v>-56.1</v>
      </c>
      <c r="D73" s="45">
        <v>-57</v>
      </c>
      <c r="E73" s="45">
        <v>-69.5</v>
      </c>
      <c r="F73" s="45">
        <v>-67.599999999999994</v>
      </c>
      <c r="G73" s="45">
        <v>-69.2</v>
      </c>
      <c r="H73" s="45">
        <v>-68.599999999999994</v>
      </c>
      <c r="I73" s="45">
        <v>-65.2</v>
      </c>
      <c r="J73" s="45">
        <v>-65.900000000000006</v>
      </c>
      <c r="K73" s="45">
        <v>-68.099999999999994</v>
      </c>
      <c r="L73" s="45">
        <v>-65.8</v>
      </c>
      <c r="M73" s="45">
        <v>-67.400000000000006</v>
      </c>
      <c r="N73" s="45">
        <v>-66</v>
      </c>
      <c r="O73" s="45">
        <v>-53</v>
      </c>
      <c r="P73" s="45">
        <v>-53</v>
      </c>
      <c r="Q73" s="45">
        <v>-47</v>
      </c>
      <c r="R73" s="45">
        <v>-60</v>
      </c>
      <c r="S73" s="45">
        <v>-33</v>
      </c>
      <c r="T73" s="45">
        <v>-42</v>
      </c>
      <c r="U73" s="45">
        <v>-53</v>
      </c>
      <c r="V73" s="45">
        <v>-39.700000000000003</v>
      </c>
      <c r="W73" s="45">
        <v>-36.5</v>
      </c>
      <c r="X73" s="45">
        <v>-21.7</v>
      </c>
      <c r="Y73" s="45">
        <v>9</v>
      </c>
      <c r="Z73" s="45">
        <v>3</v>
      </c>
      <c r="AA73" s="45">
        <v>1.8</v>
      </c>
      <c r="AB73" s="45">
        <v>7.7</v>
      </c>
      <c r="AC73" s="45">
        <v>-32.9</v>
      </c>
      <c r="AD73" s="45">
        <v>-30.2</v>
      </c>
      <c r="AE73" s="45">
        <v>-65.3</v>
      </c>
      <c r="AF73" s="45">
        <v>-65.7</v>
      </c>
      <c r="AG73" s="51"/>
      <c r="AH73" s="47">
        <f t="shared" si="2"/>
        <v>9</v>
      </c>
      <c r="AI73" s="48">
        <f t="shared" si="3"/>
        <v>-69.5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-573</v>
      </c>
      <c r="C75" s="64">
        <v>-602</v>
      </c>
      <c r="D75" s="64">
        <v>-614</v>
      </c>
      <c r="E75" s="64">
        <v>-610</v>
      </c>
      <c r="F75" s="64">
        <v>-614.4</v>
      </c>
      <c r="G75" s="64">
        <v>-640.20000000000005</v>
      </c>
      <c r="H75" s="64">
        <v>-601.5</v>
      </c>
      <c r="I75" s="64">
        <v>-664</v>
      </c>
      <c r="J75" s="64">
        <v>-627</v>
      </c>
      <c r="K75" s="64">
        <v>-637.20000000000005</v>
      </c>
      <c r="L75" s="64">
        <v>-625</v>
      </c>
      <c r="M75" s="64">
        <v>-641</v>
      </c>
      <c r="N75" s="64">
        <v>-583</v>
      </c>
      <c r="O75" s="64">
        <v>-586</v>
      </c>
      <c r="P75" s="64">
        <v>-636</v>
      </c>
      <c r="Q75" s="64">
        <v>-600</v>
      </c>
      <c r="R75" s="64">
        <v>-626</v>
      </c>
      <c r="S75" s="64">
        <v>-617</v>
      </c>
      <c r="T75" s="64">
        <v>-596.70000000000005</v>
      </c>
      <c r="U75" s="64">
        <v>-534.6</v>
      </c>
      <c r="V75" s="64">
        <v>-551.70000000000005</v>
      </c>
      <c r="W75" s="64">
        <v>-506.7</v>
      </c>
      <c r="X75" s="64">
        <v>-498.6</v>
      </c>
      <c r="Y75" s="64">
        <v>-489</v>
      </c>
      <c r="Z75" s="64">
        <v>-497</v>
      </c>
      <c r="AA75" s="64">
        <v>-549.29999999999995</v>
      </c>
      <c r="AB75" s="64">
        <v>-522.6</v>
      </c>
      <c r="AC75" s="64">
        <v>-531.9</v>
      </c>
      <c r="AD75" s="64">
        <v>-571.6</v>
      </c>
      <c r="AE75" s="64">
        <v>-604.70000000000005</v>
      </c>
      <c r="AF75" s="64">
        <v>-566</v>
      </c>
      <c r="AG75" s="74"/>
      <c r="AH75" s="47">
        <f t="shared" si="2"/>
        <v>-489</v>
      </c>
      <c r="AI75" s="48">
        <f t="shared" si="3"/>
        <v>-664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64">
        <v>0</v>
      </c>
      <c r="AE76" s="64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74"/>
      <c r="AH77" s="47">
        <f t="shared" ref="AH77:AH120" si="28">MAX(B77:AF77)</f>
        <v>0</v>
      </c>
      <c r="AI77" s="48">
        <f t="shared" ref="AI77:AI120" si="29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4"/>
      <c r="AH78" s="47">
        <f t="shared" si="28"/>
        <v>0</v>
      </c>
      <c r="AI78" s="48">
        <f t="shared" si="29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4"/>
      <c r="AH79" s="47">
        <f t="shared" si="28"/>
        <v>0</v>
      </c>
      <c r="AI79" s="48">
        <f t="shared" si="2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>
        <v>0</v>
      </c>
      <c r="AE80" s="76">
        <v>0</v>
      </c>
      <c r="AF80" s="76">
        <v>0</v>
      </c>
      <c r="AG80" s="74"/>
      <c r="AH80" s="47">
        <f t="shared" si="28"/>
        <v>0</v>
      </c>
      <c r="AI80" s="48">
        <f t="shared" si="2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>
        <v>0</v>
      </c>
      <c r="AE81" s="76">
        <v>0</v>
      </c>
      <c r="AF81" s="76">
        <v>0</v>
      </c>
      <c r="AG81" s="74"/>
      <c r="AH81" s="47">
        <f t="shared" si="28"/>
        <v>0</v>
      </c>
      <c r="AI81" s="48">
        <f t="shared" si="2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>
        <v>0</v>
      </c>
      <c r="AE82" s="76">
        <v>0</v>
      </c>
      <c r="AF82" s="76">
        <v>0</v>
      </c>
      <c r="AG82" s="84"/>
      <c r="AH82" s="47">
        <f t="shared" si="28"/>
        <v>0</v>
      </c>
      <c r="AI82" s="48">
        <f t="shared" si="2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>
        <v>0</v>
      </c>
      <c r="AE83" s="76">
        <v>0</v>
      </c>
      <c r="AF83" s="76">
        <v>0</v>
      </c>
      <c r="AG83" s="84"/>
      <c r="AH83" s="47">
        <f t="shared" si="28"/>
        <v>0</v>
      </c>
      <c r="AI83" s="48">
        <f t="shared" si="2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30">SUMIF(B73:B83,"&gt;0")</f>
        <v>0</v>
      </c>
      <c r="C84" s="60">
        <f t="shared" si="30"/>
        <v>0</v>
      </c>
      <c r="D84" s="60">
        <f t="shared" si="30"/>
        <v>0</v>
      </c>
      <c r="E84" s="60">
        <f t="shared" si="30"/>
        <v>0</v>
      </c>
      <c r="F84" s="60">
        <f t="shared" si="30"/>
        <v>0</v>
      </c>
      <c r="G84" s="60">
        <f t="shared" si="30"/>
        <v>0</v>
      </c>
      <c r="H84" s="60">
        <f t="shared" si="30"/>
        <v>0</v>
      </c>
      <c r="I84" s="60">
        <f t="shared" si="30"/>
        <v>0</v>
      </c>
      <c r="J84" s="60">
        <f t="shared" si="30"/>
        <v>0</v>
      </c>
      <c r="K84" s="60">
        <f t="shared" si="30"/>
        <v>0</v>
      </c>
      <c r="L84" s="60">
        <f t="shared" si="30"/>
        <v>0</v>
      </c>
      <c r="M84" s="60">
        <f t="shared" ref="M84" si="31">SUMIF(M73:M83,"&gt;0")</f>
        <v>0</v>
      </c>
      <c r="N84" s="60">
        <f t="shared" si="30"/>
        <v>0</v>
      </c>
      <c r="O84" s="60">
        <f t="shared" si="30"/>
        <v>0</v>
      </c>
      <c r="P84" s="60">
        <f t="shared" si="30"/>
        <v>0</v>
      </c>
      <c r="Q84" s="60">
        <f t="shared" si="30"/>
        <v>0</v>
      </c>
      <c r="R84" s="60">
        <f t="shared" si="30"/>
        <v>0</v>
      </c>
      <c r="S84" s="60">
        <f t="shared" ref="S84:T84" si="32">SUMIF(S73:S83,"&gt;0")</f>
        <v>0</v>
      </c>
      <c r="T84" s="60">
        <f t="shared" si="32"/>
        <v>0</v>
      </c>
      <c r="U84" s="60">
        <f t="shared" ref="U84:V84" si="33">SUMIF(U73:U83,"&gt;0")</f>
        <v>0</v>
      </c>
      <c r="V84" s="60">
        <f t="shared" si="33"/>
        <v>0</v>
      </c>
      <c r="W84" s="60">
        <f t="shared" ref="W84:Y84" si="34">SUMIF(W73:W83,"&gt;0")</f>
        <v>0</v>
      </c>
      <c r="X84" s="60">
        <f t="shared" si="34"/>
        <v>0</v>
      </c>
      <c r="Y84" s="60">
        <f t="shared" si="34"/>
        <v>9</v>
      </c>
      <c r="Z84" s="60">
        <f t="shared" ref="Z84:AA84" si="35">SUMIF(Z73:Z83,"&gt;0")</f>
        <v>3</v>
      </c>
      <c r="AA84" s="60">
        <f t="shared" si="35"/>
        <v>1.8</v>
      </c>
      <c r="AB84" s="60">
        <f t="shared" si="30"/>
        <v>7.7</v>
      </c>
      <c r="AC84" s="60">
        <f t="shared" si="30"/>
        <v>0</v>
      </c>
      <c r="AD84" s="60">
        <f t="shared" si="30"/>
        <v>0</v>
      </c>
      <c r="AE84" s="60">
        <f t="shared" si="30"/>
        <v>0</v>
      </c>
      <c r="AF84" s="60">
        <f t="shared" si="30"/>
        <v>0</v>
      </c>
      <c r="AG84" s="87">
        <f>SUM(AG73:AG83)</f>
        <v>0</v>
      </c>
      <c r="AH84" s="47">
        <f t="shared" si="28"/>
        <v>9</v>
      </c>
      <c r="AI84" s="48">
        <f t="shared" si="2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28"/>
        <v>0</v>
      </c>
      <c r="AI85" s="48">
        <f t="shared" si="2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28"/>
        <v>0</v>
      </c>
      <c r="AI86" s="48">
        <f t="shared" si="2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28"/>
        <v>0</v>
      </c>
      <c r="AI87" s="48">
        <f t="shared" si="2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28"/>
        <v>0</v>
      </c>
      <c r="AI88" s="48">
        <f t="shared" si="29"/>
        <v>0</v>
      </c>
    </row>
    <row r="89" spans="1:40" ht="15.75" thickBot="1" x14ac:dyDescent="0.3">
      <c r="A89" s="73" t="s">
        <v>100</v>
      </c>
      <c r="B89" s="94">
        <f t="shared" ref="B89:AG89" si="36">B50+B54+B72+B68+B84+B88</f>
        <v>2105.04</v>
      </c>
      <c r="C89" s="94">
        <f t="shared" si="36"/>
        <v>2105.04</v>
      </c>
      <c r="D89" s="94">
        <f t="shared" si="36"/>
        <v>2085.44</v>
      </c>
      <c r="E89" s="94">
        <f t="shared" si="36"/>
        <v>2074.64</v>
      </c>
      <c r="F89" s="94">
        <f t="shared" si="36"/>
        <v>2075.64</v>
      </c>
      <c r="G89" s="94">
        <f t="shared" si="36"/>
        <v>2075.54</v>
      </c>
      <c r="H89" s="94">
        <f t="shared" si="36"/>
        <v>2095.54</v>
      </c>
      <c r="I89" s="94">
        <f t="shared" si="36"/>
        <v>2134.34</v>
      </c>
      <c r="J89" s="94">
        <f t="shared" si="36"/>
        <v>2134.34</v>
      </c>
      <c r="K89" s="94">
        <f t="shared" si="36"/>
        <v>2171.7400000000002</v>
      </c>
      <c r="L89" s="94">
        <f t="shared" si="36"/>
        <v>2170.7400000000002</v>
      </c>
      <c r="M89" s="94">
        <f t="shared" ref="M89" si="37">M50+M54+M72+M68+M84+M88</f>
        <v>2184.54</v>
      </c>
      <c r="N89" s="94">
        <f t="shared" si="36"/>
        <v>2184.54</v>
      </c>
      <c r="O89" s="94">
        <f t="shared" si="36"/>
        <v>2192.54</v>
      </c>
      <c r="P89" s="94">
        <f t="shared" si="36"/>
        <v>2175.64</v>
      </c>
      <c r="Q89" s="94">
        <f t="shared" si="36"/>
        <v>2175.64</v>
      </c>
      <c r="R89" s="94">
        <f t="shared" si="36"/>
        <v>2175.64</v>
      </c>
      <c r="S89" s="94">
        <f t="shared" ref="S89:T89" si="38">S50+S54+S72+S68+S84+S88</f>
        <v>2178.04</v>
      </c>
      <c r="T89" s="94">
        <f t="shared" si="38"/>
        <v>2174.94</v>
      </c>
      <c r="U89" s="94">
        <f t="shared" ref="U89:V89" si="39">U50+U54+U72+U68+U84+U88</f>
        <v>2147.44</v>
      </c>
      <c r="V89" s="94">
        <f t="shared" si="39"/>
        <v>2118.9400000000005</v>
      </c>
      <c r="W89" s="94">
        <f t="shared" ref="W89:Y89" si="40">W50+W54+W72+W68+W84+W88</f>
        <v>2118.9400000000005</v>
      </c>
      <c r="X89" s="94">
        <f t="shared" si="40"/>
        <v>2168.7400000000002</v>
      </c>
      <c r="Y89" s="94">
        <f t="shared" si="40"/>
        <v>2257.94</v>
      </c>
      <c r="Z89" s="94">
        <f t="shared" ref="Z89:AA89" si="41">Z50+Z54+Z72+Z68+Z84+Z88</f>
        <v>2251.94</v>
      </c>
      <c r="AA89" s="94">
        <f t="shared" si="41"/>
        <v>2240.7400000000002</v>
      </c>
      <c r="AB89" s="94">
        <f t="shared" si="36"/>
        <v>2197.9399999999996</v>
      </c>
      <c r="AC89" s="94">
        <f t="shared" si="36"/>
        <v>2195.2399999999998</v>
      </c>
      <c r="AD89" s="94">
        <f t="shared" si="36"/>
        <v>2195.54</v>
      </c>
      <c r="AE89" s="94">
        <f t="shared" si="36"/>
        <v>2135.34</v>
      </c>
      <c r="AF89" s="94">
        <f t="shared" si="36"/>
        <v>2150.94</v>
      </c>
      <c r="AG89" s="61">
        <f t="shared" si="36"/>
        <v>2111.5500000000002</v>
      </c>
      <c r="AH89" s="47">
        <f t="shared" si="28"/>
        <v>2257.94</v>
      </c>
      <c r="AI89" s="48">
        <f t="shared" si="29"/>
        <v>2074.64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28"/>
        <v>0</v>
      </c>
      <c r="AI90" s="48">
        <f t="shared" si="29"/>
        <v>0</v>
      </c>
    </row>
    <row r="91" spans="1:40" ht="15.75" thickBot="1" x14ac:dyDescent="0.3">
      <c r="A91" s="73" t="s">
        <v>102</v>
      </c>
      <c r="B91" s="94">
        <f t="shared" ref="B91:AF91" si="42">B89+B90</f>
        <v>2105.04</v>
      </c>
      <c r="C91" s="94">
        <f t="shared" si="42"/>
        <v>2105.04</v>
      </c>
      <c r="D91" s="94">
        <f t="shared" si="42"/>
        <v>2085.44</v>
      </c>
      <c r="E91" s="94">
        <f t="shared" si="42"/>
        <v>2074.64</v>
      </c>
      <c r="F91" s="94">
        <f t="shared" si="42"/>
        <v>2075.64</v>
      </c>
      <c r="G91" s="94">
        <f t="shared" si="42"/>
        <v>2075.54</v>
      </c>
      <c r="H91" s="94">
        <f t="shared" si="42"/>
        <v>2095.54</v>
      </c>
      <c r="I91" s="94">
        <f t="shared" si="42"/>
        <v>2134.34</v>
      </c>
      <c r="J91" s="94">
        <f t="shared" si="42"/>
        <v>2134.34</v>
      </c>
      <c r="K91" s="94">
        <f t="shared" si="42"/>
        <v>2171.7400000000002</v>
      </c>
      <c r="L91" s="94">
        <f t="shared" si="42"/>
        <v>2170.7400000000002</v>
      </c>
      <c r="M91" s="94">
        <f t="shared" ref="M91" si="43">M89+M90</f>
        <v>2184.54</v>
      </c>
      <c r="N91" s="94">
        <f t="shared" si="42"/>
        <v>2184.54</v>
      </c>
      <c r="O91" s="94">
        <f t="shared" si="42"/>
        <v>2192.54</v>
      </c>
      <c r="P91" s="94">
        <f t="shared" si="42"/>
        <v>2175.64</v>
      </c>
      <c r="Q91" s="94">
        <f t="shared" si="42"/>
        <v>2175.64</v>
      </c>
      <c r="R91" s="94">
        <f t="shared" si="42"/>
        <v>2175.64</v>
      </c>
      <c r="S91" s="94">
        <f t="shared" ref="S91:T91" si="44">S89+S90</f>
        <v>2178.04</v>
      </c>
      <c r="T91" s="94">
        <f t="shared" si="44"/>
        <v>2174.94</v>
      </c>
      <c r="U91" s="94">
        <f t="shared" ref="U91:V91" si="45">U89+U90</f>
        <v>2147.44</v>
      </c>
      <c r="V91" s="94">
        <f t="shared" si="45"/>
        <v>2118.9400000000005</v>
      </c>
      <c r="W91" s="94">
        <f t="shared" ref="W91:Y91" si="46">W89+W90</f>
        <v>2118.9400000000005</v>
      </c>
      <c r="X91" s="94">
        <f t="shared" si="46"/>
        <v>2168.7400000000002</v>
      </c>
      <c r="Y91" s="94">
        <f t="shared" si="46"/>
        <v>2257.94</v>
      </c>
      <c r="Z91" s="94">
        <f t="shared" ref="Z91:AA91" si="47">Z89+Z90</f>
        <v>2251.94</v>
      </c>
      <c r="AA91" s="94">
        <f t="shared" si="47"/>
        <v>2240.7400000000002</v>
      </c>
      <c r="AB91" s="94">
        <f t="shared" si="42"/>
        <v>2197.9399999999996</v>
      </c>
      <c r="AC91" s="94">
        <f t="shared" si="42"/>
        <v>2195.2399999999998</v>
      </c>
      <c r="AD91" s="94">
        <f t="shared" si="42"/>
        <v>2195.54</v>
      </c>
      <c r="AE91" s="94">
        <f t="shared" si="42"/>
        <v>2135.34</v>
      </c>
      <c r="AF91" s="94">
        <f t="shared" si="42"/>
        <v>2150.94</v>
      </c>
      <c r="AG91" s="87">
        <f>AG88+AG84+AG72+AG68+AG50+AG90</f>
        <v>1573.45</v>
      </c>
      <c r="AH91" s="47">
        <f t="shared" si="28"/>
        <v>2257.94</v>
      </c>
      <c r="AI91" s="48">
        <f t="shared" si="29"/>
        <v>2074.64</v>
      </c>
    </row>
    <row r="92" spans="1:40" ht="15.75" thickBot="1" x14ac:dyDescent="0.3">
      <c r="A92" s="73" t="s">
        <v>103</v>
      </c>
      <c r="B92" s="94">
        <f>B91-(-B99)</f>
        <v>1532.04</v>
      </c>
      <c r="C92" s="94">
        <f t="shared" ref="C92:AF92" si="48">C91-(-C99)</f>
        <v>1503.04</v>
      </c>
      <c r="D92" s="94">
        <f t="shared" si="48"/>
        <v>1471.44</v>
      </c>
      <c r="E92" s="94">
        <f t="shared" si="48"/>
        <v>1464.6399999999999</v>
      </c>
      <c r="F92" s="94">
        <f t="shared" si="48"/>
        <v>1461.2399999999998</v>
      </c>
      <c r="G92" s="94">
        <f t="shared" si="48"/>
        <v>1435.34</v>
      </c>
      <c r="H92" s="94">
        <f t="shared" si="48"/>
        <v>1494.04</v>
      </c>
      <c r="I92" s="94">
        <f t="shared" si="48"/>
        <v>1470.3400000000001</v>
      </c>
      <c r="J92" s="94">
        <f t="shared" si="48"/>
        <v>1507.3400000000001</v>
      </c>
      <c r="K92" s="94">
        <f t="shared" si="48"/>
        <v>1534.5400000000002</v>
      </c>
      <c r="L92" s="94">
        <f t="shared" si="48"/>
        <v>1545.7400000000002</v>
      </c>
      <c r="M92" s="94">
        <f t="shared" ref="M92" si="49">M91-(-M99)</f>
        <v>1543.54</v>
      </c>
      <c r="N92" s="94">
        <f t="shared" si="48"/>
        <v>1601.54</v>
      </c>
      <c r="O92" s="94">
        <f t="shared" si="48"/>
        <v>1606.54</v>
      </c>
      <c r="P92" s="94">
        <f t="shared" si="48"/>
        <v>1539.6399999999999</v>
      </c>
      <c r="Q92" s="94">
        <f t="shared" si="48"/>
        <v>1575.6399999999999</v>
      </c>
      <c r="R92" s="94">
        <f t="shared" si="48"/>
        <v>1549.6399999999999</v>
      </c>
      <c r="S92" s="94">
        <f t="shared" ref="S92:T92" si="50">S91-(-S99)</f>
        <v>1561.04</v>
      </c>
      <c r="T92" s="94">
        <f t="shared" si="50"/>
        <v>1578.24</v>
      </c>
      <c r="U92" s="94">
        <f t="shared" ref="U92:V92" si="51">U91-(-U99)</f>
        <v>1612.8400000000001</v>
      </c>
      <c r="V92" s="94">
        <f t="shared" si="51"/>
        <v>1567.2400000000005</v>
      </c>
      <c r="W92" s="94">
        <f t="shared" ref="W92:Y92" si="52">W91-(-W99)</f>
        <v>1612.2400000000005</v>
      </c>
      <c r="X92" s="94">
        <f t="shared" si="52"/>
        <v>1670.1400000000003</v>
      </c>
      <c r="Y92" s="94">
        <f t="shared" si="52"/>
        <v>1768.94</v>
      </c>
      <c r="Z92" s="94">
        <f t="shared" ref="Z92:AA92" si="53">Z91-(-Z99)</f>
        <v>1754.94</v>
      </c>
      <c r="AA92" s="94">
        <f t="shared" si="53"/>
        <v>1691.4400000000003</v>
      </c>
      <c r="AB92" s="94">
        <f t="shared" si="48"/>
        <v>1675.3399999999997</v>
      </c>
      <c r="AC92" s="94">
        <f t="shared" si="48"/>
        <v>1663.3399999999997</v>
      </c>
      <c r="AD92" s="94">
        <f t="shared" si="48"/>
        <v>1623.94</v>
      </c>
      <c r="AE92" s="94">
        <f t="shared" si="48"/>
        <v>1530.64</v>
      </c>
      <c r="AF92" s="94">
        <f t="shared" si="48"/>
        <v>1584.94</v>
      </c>
      <c r="AG92" s="87"/>
      <c r="AH92" s="47">
        <f t="shared" si="28"/>
        <v>1768.94</v>
      </c>
      <c r="AI92" s="48">
        <f t="shared" si="29"/>
        <v>1435.34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28"/>
        <v>0</v>
      </c>
      <c r="AI93" s="48">
        <f t="shared" si="2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28"/>
        <v>0</v>
      </c>
      <c r="AI94" s="48">
        <f t="shared" si="2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28"/>
        <v>0</v>
      </c>
      <c r="AI95" s="48">
        <f t="shared" si="2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28"/>
        <v>0</v>
      </c>
      <c r="AI96" s="48">
        <f t="shared" si="2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28"/>
        <v>0</v>
      </c>
      <c r="AI97" s="48">
        <f t="shared" si="2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28"/>
        <v>0</v>
      </c>
      <c r="AI98" s="48">
        <f t="shared" si="29"/>
        <v>0</v>
      </c>
    </row>
    <row r="99" spans="1:37" ht="15.75" thickBot="1" x14ac:dyDescent="0.3">
      <c r="A99" s="98" t="s">
        <v>107</v>
      </c>
      <c r="B99" s="60">
        <f>B75</f>
        <v>-573</v>
      </c>
      <c r="C99" s="60">
        <f t="shared" ref="C99:AF99" si="54">C75</f>
        <v>-602</v>
      </c>
      <c r="D99" s="60">
        <f t="shared" si="54"/>
        <v>-614</v>
      </c>
      <c r="E99" s="60">
        <f t="shared" si="54"/>
        <v>-610</v>
      </c>
      <c r="F99" s="60">
        <f t="shared" si="54"/>
        <v>-614.4</v>
      </c>
      <c r="G99" s="60">
        <f t="shared" si="54"/>
        <v>-640.20000000000005</v>
      </c>
      <c r="H99" s="60">
        <f t="shared" si="54"/>
        <v>-601.5</v>
      </c>
      <c r="I99" s="60">
        <f t="shared" si="54"/>
        <v>-664</v>
      </c>
      <c r="J99" s="60">
        <f t="shared" si="54"/>
        <v>-627</v>
      </c>
      <c r="K99" s="60">
        <f t="shared" si="54"/>
        <v>-637.20000000000005</v>
      </c>
      <c r="L99" s="60">
        <f t="shared" si="54"/>
        <v>-625</v>
      </c>
      <c r="M99" s="60">
        <f t="shared" ref="M99" si="55">M75</f>
        <v>-641</v>
      </c>
      <c r="N99" s="60">
        <f t="shared" si="54"/>
        <v>-583</v>
      </c>
      <c r="O99" s="60">
        <f t="shared" si="54"/>
        <v>-586</v>
      </c>
      <c r="P99" s="60">
        <f t="shared" si="54"/>
        <v>-636</v>
      </c>
      <c r="Q99" s="60">
        <f t="shared" si="54"/>
        <v>-600</v>
      </c>
      <c r="R99" s="60">
        <f t="shared" si="54"/>
        <v>-626</v>
      </c>
      <c r="S99" s="60">
        <f t="shared" ref="S99:T99" si="56">S75</f>
        <v>-617</v>
      </c>
      <c r="T99" s="60">
        <f t="shared" si="56"/>
        <v>-596.70000000000005</v>
      </c>
      <c r="U99" s="60">
        <f t="shared" ref="U99:V99" si="57">U75</f>
        <v>-534.6</v>
      </c>
      <c r="V99" s="60">
        <f t="shared" si="57"/>
        <v>-551.70000000000005</v>
      </c>
      <c r="W99" s="60">
        <f t="shared" ref="W99:Y99" si="58">W75</f>
        <v>-506.7</v>
      </c>
      <c r="X99" s="60">
        <f t="shared" si="58"/>
        <v>-498.6</v>
      </c>
      <c r="Y99" s="60">
        <f t="shared" si="58"/>
        <v>-489</v>
      </c>
      <c r="Z99" s="60">
        <f t="shared" ref="Z99:AA99" si="59">Z75</f>
        <v>-497</v>
      </c>
      <c r="AA99" s="60">
        <f t="shared" si="59"/>
        <v>-549.29999999999995</v>
      </c>
      <c r="AB99" s="60">
        <f t="shared" si="54"/>
        <v>-522.6</v>
      </c>
      <c r="AC99" s="60">
        <f t="shared" si="54"/>
        <v>-531.9</v>
      </c>
      <c r="AD99" s="60">
        <f t="shared" si="54"/>
        <v>-571.6</v>
      </c>
      <c r="AE99" s="60">
        <f t="shared" si="54"/>
        <v>-604.70000000000005</v>
      </c>
      <c r="AF99" s="60">
        <f t="shared" si="54"/>
        <v>-566</v>
      </c>
      <c r="AG99" s="87"/>
      <c r="AH99" s="47">
        <f t="shared" si="28"/>
        <v>-489</v>
      </c>
      <c r="AI99" s="48">
        <f t="shared" si="29"/>
        <v>-664</v>
      </c>
      <c r="AK99" s="50"/>
    </row>
    <row r="100" spans="1:37" ht="15.75" thickBot="1" x14ac:dyDescent="0.3">
      <c r="A100" s="73" t="s">
        <v>108</v>
      </c>
      <c r="B100" s="60">
        <f t="shared" ref="B100:AF100" si="60">B84-B99</f>
        <v>573</v>
      </c>
      <c r="C100" s="60">
        <f t="shared" si="60"/>
        <v>602</v>
      </c>
      <c r="D100" s="60">
        <f t="shared" si="60"/>
        <v>614</v>
      </c>
      <c r="E100" s="60">
        <f t="shared" si="60"/>
        <v>610</v>
      </c>
      <c r="F100" s="60">
        <f t="shared" si="60"/>
        <v>614.4</v>
      </c>
      <c r="G100" s="60">
        <f t="shared" si="60"/>
        <v>640.20000000000005</v>
      </c>
      <c r="H100" s="60">
        <f t="shared" si="60"/>
        <v>601.5</v>
      </c>
      <c r="I100" s="60">
        <f t="shared" si="60"/>
        <v>664</v>
      </c>
      <c r="J100" s="60">
        <f t="shared" si="60"/>
        <v>627</v>
      </c>
      <c r="K100" s="60">
        <f t="shared" si="60"/>
        <v>637.20000000000005</v>
      </c>
      <c r="L100" s="60">
        <f t="shared" si="60"/>
        <v>625</v>
      </c>
      <c r="M100" s="60">
        <f t="shared" ref="M100" si="61">M84-M99</f>
        <v>641</v>
      </c>
      <c r="N100" s="60">
        <f t="shared" si="60"/>
        <v>583</v>
      </c>
      <c r="O100" s="60">
        <f t="shared" si="60"/>
        <v>586</v>
      </c>
      <c r="P100" s="60">
        <f t="shared" si="60"/>
        <v>636</v>
      </c>
      <c r="Q100" s="60">
        <f t="shared" si="60"/>
        <v>600</v>
      </c>
      <c r="R100" s="60">
        <f t="shared" si="60"/>
        <v>626</v>
      </c>
      <c r="S100" s="60">
        <f t="shared" ref="S100:T100" si="62">S84-S99</f>
        <v>617</v>
      </c>
      <c r="T100" s="60">
        <f t="shared" si="62"/>
        <v>596.70000000000005</v>
      </c>
      <c r="U100" s="60">
        <f t="shared" ref="U100:V100" si="63">U84-U99</f>
        <v>534.6</v>
      </c>
      <c r="V100" s="60">
        <f t="shared" si="63"/>
        <v>551.70000000000005</v>
      </c>
      <c r="W100" s="60">
        <f t="shared" ref="W100:Y100" si="64">W84-W99</f>
        <v>506.7</v>
      </c>
      <c r="X100" s="60">
        <f t="shared" si="64"/>
        <v>498.6</v>
      </c>
      <c r="Y100" s="60">
        <f t="shared" si="64"/>
        <v>498</v>
      </c>
      <c r="Z100" s="60">
        <f t="shared" ref="Z100:AA100" si="65">Z84-Z99</f>
        <v>500</v>
      </c>
      <c r="AA100" s="60">
        <f t="shared" si="65"/>
        <v>551.09999999999991</v>
      </c>
      <c r="AB100" s="60">
        <f t="shared" si="60"/>
        <v>530.30000000000007</v>
      </c>
      <c r="AC100" s="60">
        <f t="shared" si="60"/>
        <v>531.9</v>
      </c>
      <c r="AD100" s="60">
        <f t="shared" si="60"/>
        <v>571.6</v>
      </c>
      <c r="AE100" s="60">
        <f t="shared" si="60"/>
        <v>604.70000000000005</v>
      </c>
      <c r="AF100" s="60">
        <f t="shared" si="60"/>
        <v>566</v>
      </c>
      <c r="AG100" s="87"/>
      <c r="AH100" s="47">
        <f t="shared" si="28"/>
        <v>664</v>
      </c>
      <c r="AI100" s="48">
        <f t="shared" si="29"/>
        <v>498</v>
      </c>
    </row>
    <row r="101" spans="1:37" x14ac:dyDescent="0.25">
      <c r="A101" s="99" t="s">
        <v>109</v>
      </c>
      <c r="B101" s="100">
        <v>50.024000000000001</v>
      </c>
      <c r="C101" s="100">
        <v>49.968000000000004</v>
      </c>
      <c r="D101" s="100">
        <v>50.067</v>
      </c>
      <c r="E101" s="100">
        <v>50.05</v>
      </c>
      <c r="F101" s="100">
        <v>49.994999999999997</v>
      </c>
      <c r="G101" s="100">
        <v>49.945</v>
      </c>
      <c r="H101" s="100">
        <v>49.978000000000002</v>
      </c>
      <c r="I101" s="100">
        <v>50.006</v>
      </c>
      <c r="J101" s="100">
        <v>50.045000000000002</v>
      </c>
      <c r="K101" s="100">
        <v>49.865000000000002</v>
      </c>
      <c r="L101" s="100">
        <v>50.002000000000002</v>
      </c>
      <c r="M101" s="100">
        <v>49.8</v>
      </c>
      <c r="N101" s="100">
        <v>50.082999999999998</v>
      </c>
      <c r="O101" s="100">
        <v>50.07</v>
      </c>
      <c r="P101" s="100">
        <v>49.841999999999999</v>
      </c>
      <c r="Q101" s="100">
        <v>49.841999999999999</v>
      </c>
      <c r="R101" s="100">
        <v>49.988</v>
      </c>
      <c r="S101" s="100">
        <v>49.988</v>
      </c>
      <c r="T101" s="100">
        <v>49.988</v>
      </c>
      <c r="U101" s="100">
        <v>49.875</v>
      </c>
      <c r="V101" s="100">
        <v>49.88</v>
      </c>
      <c r="W101" s="100">
        <v>49.69</v>
      </c>
      <c r="X101" s="100">
        <v>49.8</v>
      </c>
      <c r="Y101" s="100">
        <v>49.62</v>
      </c>
      <c r="Z101" s="100">
        <v>49.62</v>
      </c>
      <c r="AA101" s="100">
        <v>49.96</v>
      </c>
      <c r="AB101" s="100">
        <v>50.054000000000002</v>
      </c>
      <c r="AC101" s="100">
        <v>50.029000000000003</v>
      </c>
      <c r="AD101" s="100">
        <v>50.029000000000003</v>
      </c>
      <c r="AE101" s="100">
        <v>50.145000000000003</v>
      </c>
      <c r="AF101" s="100">
        <v>49.97</v>
      </c>
      <c r="AG101" s="101"/>
      <c r="AH101" s="47">
        <f t="shared" si="28"/>
        <v>50.145000000000003</v>
      </c>
      <c r="AI101" s="48">
        <f t="shared" si="29"/>
        <v>49.62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28"/>
        <v>0</v>
      </c>
      <c r="AI102" s="48">
        <f t="shared" si="29"/>
        <v>0</v>
      </c>
    </row>
    <row r="103" spans="1:37" x14ac:dyDescent="0.25">
      <c r="A103" s="102" t="s">
        <v>111</v>
      </c>
      <c r="B103" s="64">
        <v>129.4</v>
      </c>
      <c r="C103" s="64">
        <v>128.69999999999999</v>
      </c>
      <c r="D103" s="64">
        <v>129.1</v>
      </c>
      <c r="E103" s="64">
        <v>129</v>
      </c>
      <c r="F103" s="64">
        <v>129.30000000000001</v>
      </c>
      <c r="G103" s="64">
        <v>129.5</v>
      </c>
      <c r="H103" s="64">
        <v>129.5</v>
      </c>
      <c r="I103" s="64">
        <v>127.9</v>
      </c>
      <c r="J103" s="64">
        <v>128.30000000000001</v>
      </c>
      <c r="K103" s="64">
        <v>125.8</v>
      </c>
      <c r="L103" s="64">
        <v>126.3</v>
      </c>
      <c r="M103" s="64">
        <v>126.6</v>
      </c>
      <c r="N103" s="64">
        <v>126.2</v>
      </c>
      <c r="O103" s="64">
        <v>125.6</v>
      </c>
      <c r="P103" s="64">
        <v>124.2</v>
      </c>
      <c r="Q103" s="64">
        <v>124.2</v>
      </c>
      <c r="R103" s="64">
        <v>126.2</v>
      </c>
      <c r="S103" s="64">
        <v>126.2</v>
      </c>
      <c r="T103" s="64">
        <v>126.2</v>
      </c>
      <c r="U103" s="64">
        <v>127.3</v>
      </c>
      <c r="V103" s="64">
        <v>127.7</v>
      </c>
      <c r="W103" s="64">
        <v>127.2</v>
      </c>
      <c r="X103" s="64">
        <v>128.19999999999999</v>
      </c>
      <c r="Y103" s="64">
        <v>129</v>
      </c>
      <c r="Z103" s="64">
        <v>129</v>
      </c>
      <c r="AA103" s="64">
        <v>129.19999999999999</v>
      </c>
      <c r="AB103" s="64">
        <v>129.5</v>
      </c>
      <c r="AC103" s="64">
        <v>129.1</v>
      </c>
      <c r="AD103" s="64">
        <v>129.30000000000001</v>
      </c>
      <c r="AE103" s="64">
        <v>128.5</v>
      </c>
      <c r="AF103" s="64">
        <v>127.6</v>
      </c>
      <c r="AG103" s="103"/>
      <c r="AH103" s="47">
        <f t="shared" si="28"/>
        <v>129.5</v>
      </c>
      <c r="AI103" s="48">
        <f t="shared" si="29"/>
        <v>124.2</v>
      </c>
    </row>
    <row r="104" spans="1:37" x14ac:dyDescent="0.25">
      <c r="A104" s="102" t="s">
        <v>112</v>
      </c>
      <c r="B104" s="64">
        <v>128.69999999999999</v>
      </c>
      <c r="C104" s="64">
        <v>128.9</v>
      </c>
      <c r="D104" s="64">
        <v>130</v>
      </c>
      <c r="E104" s="64">
        <v>130</v>
      </c>
      <c r="F104" s="64">
        <v>129.1</v>
      </c>
      <c r="G104" s="64">
        <v>129.5</v>
      </c>
      <c r="H104" s="64">
        <v>129.6</v>
      </c>
      <c r="I104" s="64">
        <v>128.5</v>
      </c>
      <c r="J104" s="64">
        <v>128</v>
      </c>
      <c r="K104" s="64">
        <v>127</v>
      </c>
      <c r="L104" s="64">
        <v>127.8</v>
      </c>
      <c r="M104" s="64">
        <v>128.4</v>
      </c>
      <c r="N104" s="64">
        <v>128.30000000000001</v>
      </c>
      <c r="O104" s="64">
        <v>128</v>
      </c>
      <c r="P104" s="64">
        <v>127.8</v>
      </c>
      <c r="Q104" s="64">
        <v>127.8</v>
      </c>
      <c r="R104" s="64">
        <v>128</v>
      </c>
      <c r="S104" s="64">
        <v>128</v>
      </c>
      <c r="T104" s="64">
        <v>128</v>
      </c>
      <c r="U104" s="64">
        <v>128.30000000000001</v>
      </c>
      <c r="V104" s="64">
        <v>130.36000000000001</v>
      </c>
      <c r="W104" s="64">
        <v>127.9</v>
      </c>
      <c r="X104" s="64">
        <v>127.1</v>
      </c>
      <c r="Y104" s="64">
        <v>128</v>
      </c>
      <c r="Z104" s="64">
        <v>128</v>
      </c>
      <c r="AA104" s="64">
        <v>126.1</v>
      </c>
      <c r="AB104" s="64">
        <v>129.19999999999999</v>
      </c>
      <c r="AC104" s="64">
        <v>128.19999999999999</v>
      </c>
      <c r="AD104" s="64">
        <v>129.69999999999999</v>
      </c>
      <c r="AE104" s="64">
        <v>129.4</v>
      </c>
      <c r="AF104" s="64">
        <v>128.30000000000001</v>
      </c>
      <c r="AG104" s="103"/>
      <c r="AH104" s="47">
        <f t="shared" si="28"/>
        <v>130.36000000000001</v>
      </c>
      <c r="AI104" s="48">
        <f t="shared" si="29"/>
        <v>126.1</v>
      </c>
    </row>
    <row r="105" spans="1:37" x14ac:dyDescent="0.25">
      <c r="A105" s="104" t="s">
        <v>113</v>
      </c>
      <c r="B105" s="64">
        <v>131.6</v>
      </c>
      <c r="C105" s="64">
        <v>131.6</v>
      </c>
      <c r="D105" s="64">
        <v>133.1</v>
      </c>
      <c r="E105" s="64">
        <v>131</v>
      </c>
      <c r="F105" s="64">
        <v>130.9</v>
      </c>
      <c r="G105" s="64">
        <v>131.6</v>
      </c>
      <c r="H105" s="64">
        <v>130.9</v>
      </c>
      <c r="I105" s="64">
        <v>130.1</v>
      </c>
      <c r="J105" s="64">
        <v>127.5</v>
      </c>
      <c r="K105" s="64">
        <v>131.1</v>
      </c>
      <c r="L105" s="64">
        <v>132.1</v>
      </c>
      <c r="M105" s="64">
        <v>132.1</v>
      </c>
      <c r="N105" s="64">
        <v>131.69999999999999</v>
      </c>
      <c r="O105" s="64">
        <v>130.69999999999999</v>
      </c>
      <c r="P105" s="64">
        <v>132.6</v>
      </c>
      <c r="Q105" s="64">
        <v>132.6</v>
      </c>
      <c r="R105" s="64">
        <v>132</v>
      </c>
      <c r="S105" s="64">
        <v>132</v>
      </c>
      <c r="T105" s="64">
        <v>132</v>
      </c>
      <c r="U105" s="64">
        <v>131.30000000000001</v>
      </c>
      <c r="V105" s="64">
        <v>133.6</v>
      </c>
      <c r="W105" s="64">
        <v>130.6</v>
      </c>
      <c r="X105" s="64">
        <v>130.1</v>
      </c>
      <c r="Y105" s="64">
        <v>130.69999999999999</v>
      </c>
      <c r="Z105" s="64">
        <v>130.69999999999999</v>
      </c>
      <c r="AA105" s="64">
        <v>131.30000000000001</v>
      </c>
      <c r="AB105" s="64">
        <v>133.4</v>
      </c>
      <c r="AC105" s="64">
        <v>131.1</v>
      </c>
      <c r="AD105" s="64">
        <v>132.6</v>
      </c>
      <c r="AE105" s="64">
        <v>133.5</v>
      </c>
      <c r="AF105" s="64">
        <v>132.4</v>
      </c>
      <c r="AG105" s="103"/>
      <c r="AH105" s="47">
        <f t="shared" si="28"/>
        <v>133.6</v>
      </c>
      <c r="AI105" s="48">
        <f t="shared" si="29"/>
        <v>127.5</v>
      </c>
    </row>
    <row r="106" spans="1:37" x14ac:dyDescent="0.25">
      <c r="A106" s="104" t="s">
        <v>114</v>
      </c>
      <c r="B106" s="105">
        <v>133.69999999999999</v>
      </c>
      <c r="C106" s="105">
        <v>132.9</v>
      </c>
      <c r="D106" s="105">
        <v>133.30000000000001</v>
      </c>
      <c r="E106" s="105">
        <v>131.6</v>
      </c>
      <c r="F106" s="105">
        <v>132.80000000000001</v>
      </c>
      <c r="G106" s="105">
        <v>133.6</v>
      </c>
      <c r="H106" s="105">
        <v>133.5</v>
      </c>
      <c r="I106" s="105">
        <v>132.6</v>
      </c>
      <c r="J106" s="105">
        <v>134.9</v>
      </c>
      <c r="K106" s="105">
        <v>132.1</v>
      </c>
      <c r="L106" s="105">
        <v>132.30000000000001</v>
      </c>
      <c r="M106" s="105">
        <v>134.30000000000001</v>
      </c>
      <c r="N106" s="105">
        <v>132.4</v>
      </c>
      <c r="O106" s="105">
        <v>131.6</v>
      </c>
      <c r="P106" s="105">
        <v>130.30000000000001</v>
      </c>
      <c r="Q106" s="105">
        <v>130.30000000000001</v>
      </c>
      <c r="R106" s="105">
        <v>131.6</v>
      </c>
      <c r="S106" s="105">
        <v>131.6</v>
      </c>
      <c r="T106" s="105">
        <v>131.6</v>
      </c>
      <c r="U106" s="105">
        <v>133.6</v>
      </c>
      <c r="V106" s="105">
        <v>132.5</v>
      </c>
      <c r="W106" s="105">
        <v>133.30000000000001</v>
      </c>
      <c r="X106" s="105">
        <v>129.6</v>
      </c>
      <c r="Y106" s="105">
        <v>131.4</v>
      </c>
      <c r="Z106" s="105">
        <v>131.4</v>
      </c>
      <c r="AA106" s="105">
        <v>131.69999999999999</v>
      </c>
      <c r="AB106" s="105">
        <v>131.9</v>
      </c>
      <c r="AC106" s="105">
        <v>131</v>
      </c>
      <c r="AD106" s="105">
        <v>133.1</v>
      </c>
      <c r="AE106" s="105">
        <v>130.9</v>
      </c>
      <c r="AF106" s="105">
        <v>131.6</v>
      </c>
      <c r="AG106" s="106"/>
      <c r="AH106" s="47">
        <f t="shared" si="28"/>
        <v>134.9</v>
      </c>
      <c r="AI106" s="48">
        <f t="shared" si="29"/>
        <v>129.6</v>
      </c>
    </row>
    <row r="107" spans="1:37" x14ac:dyDescent="0.25">
      <c r="A107" s="102" t="s">
        <v>115</v>
      </c>
      <c r="B107" s="64">
        <v>134.6</v>
      </c>
      <c r="C107" s="64">
        <v>135</v>
      </c>
      <c r="D107" s="64">
        <v>137.80000000000001</v>
      </c>
      <c r="E107" s="64">
        <v>133</v>
      </c>
      <c r="F107" s="64">
        <v>135.80000000000001</v>
      </c>
      <c r="G107" s="64">
        <v>137.4</v>
      </c>
      <c r="H107" s="64">
        <v>135.4</v>
      </c>
      <c r="I107" s="64">
        <v>137.6</v>
      </c>
      <c r="J107" s="64">
        <v>138.5</v>
      </c>
      <c r="K107" s="64">
        <v>134.30000000000001</v>
      </c>
      <c r="L107" s="64">
        <v>131.80000000000001</v>
      </c>
      <c r="M107" s="64">
        <v>130.6</v>
      </c>
      <c r="N107" s="64">
        <v>130.9</v>
      </c>
      <c r="O107" s="64">
        <v>129.30000000000001</v>
      </c>
      <c r="P107" s="64">
        <v>129.80000000000001</v>
      </c>
      <c r="Q107" s="64">
        <v>129.80000000000001</v>
      </c>
      <c r="R107" s="64">
        <v>128.30000000000001</v>
      </c>
      <c r="S107" s="64">
        <v>128.30000000000001</v>
      </c>
      <c r="T107" s="64">
        <v>128.30000000000001</v>
      </c>
      <c r="U107" s="64">
        <v>133.30000000000001</v>
      </c>
      <c r="V107" s="64">
        <v>131.4</v>
      </c>
      <c r="W107" s="64">
        <v>134.19999999999999</v>
      </c>
      <c r="X107" s="64">
        <v>131.4</v>
      </c>
      <c r="Y107" s="64">
        <v>129</v>
      </c>
      <c r="Z107" s="64">
        <v>129</v>
      </c>
      <c r="AA107" s="64">
        <v>128.80000000000001</v>
      </c>
      <c r="AB107" s="64">
        <v>129</v>
      </c>
      <c r="AC107" s="64">
        <v>127.7</v>
      </c>
      <c r="AD107" s="64">
        <v>131.1</v>
      </c>
      <c r="AE107" s="64">
        <v>127.9</v>
      </c>
      <c r="AF107" s="64">
        <v>128.80000000000001</v>
      </c>
      <c r="AG107" s="103"/>
      <c r="AH107" s="47">
        <f t="shared" si="28"/>
        <v>138.5</v>
      </c>
      <c r="AI107" s="48">
        <f t="shared" si="29"/>
        <v>127.7</v>
      </c>
    </row>
    <row r="108" spans="1:37" ht="15.75" thickBot="1" x14ac:dyDescent="0.3">
      <c r="A108" s="102" t="s">
        <v>116</v>
      </c>
      <c r="B108" s="91">
        <v>65</v>
      </c>
      <c r="C108" s="91">
        <v>64.599999999999994</v>
      </c>
      <c r="D108" s="91">
        <v>64.8</v>
      </c>
      <c r="E108" s="91">
        <v>65</v>
      </c>
      <c r="F108" s="91">
        <v>64.900000000000006</v>
      </c>
      <c r="G108" s="91">
        <v>65.2</v>
      </c>
      <c r="H108" s="91">
        <v>65</v>
      </c>
      <c r="I108" s="91">
        <v>64.2</v>
      </c>
      <c r="J108" s="91">
        <v>64.599999999999994</v>
      </c>
      <c r="K108" s="91">
        <v>63.1</v>
      </c>
      <c r="L108" s="91">
        <v>63.4</v>
      </c>
      <c r="M108" s="91">
        <v>63.2</v>
      </c>
      <c r="N108" s="91">
        <v>63.7</v>
      </c>
      <c r="O108" s="91">
        <v>63.3</v>
      </c>
      <c r="P108" s="91">
        <v>62.6</v>
      </c>
      <c r="Q108" s="91">
        <v>62.6</v>
      </c>
      <c r="R108" s="91">
        <v>63.2</v>
      </c>
      <c r="S108" s="91">
        <v>63.2</v>
      </c>
      <c r="T108" s="91">
        <v>63.2</v>
      </c>
      <c r="U108" s="91">
        <v>63.2</v>
      </c>
      <c r="V108" s="91">
        <v>64.2</v>
      </c>
      <c r="W108" s="91">
        <v>64.2</v>
      </c>
      <c r="X108" s="91">
        <v>64.599999999999994</v>
      </c>
      <c r="Y108" s="91">
        <v>65.2</v>
      </c>
      <c r="Z108" s="91">
        <v>65.2</v>
      </c>
      <c r="AA108" s="91">
        <v>65.2</v>
      </c>
      <c r="AB108" s="91">
        <v>65.400000000000006</v>
      </c>
      <c r="AC108" s="91">
        <v>65.3</v>
      </c>
      <c r="AD108" s="91">
        <v>65.2</v>
      </c>
      <c r="AE108" s="91">
        <v>64.400000000000006</v>
      </c>
      <c r="AF108" s="91">
        <v>64</v>
      </c>
      <c r="AG108" s="107"/>
      <c r="AH108" s="47">
        <f t="shared" si="28"/>
        <v>65.400000000000006</v>
      </c>
      <c r="AI108" s="48">
        <f t="shared" si="29"/>
        <v>62.6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28"/>
        <v>0</v>
      </c>
      <c r="AI109" s="48">
        <f t="shared" si="29"/>
        <v>0</v>
      </c>
    </row>
    <row r="110" spans="1:37" ht="15.75" thickBot="1" x14ac:dyDescent="0.3">
      <c r="A110" s="109" t="s">
        <v>118</v>
      </c>
      <c r="B110" s="110">
        <f t="shared" ref="B110:O110" si="66">SUM(B20,B26,B29:B30,B58,B60:B61,B63,B65,B111:B115,B138,B144,B150,B159,B161,B173,B180,B183:B184,B191,B193,B195,B199:B201,B203:B205,B210,B216:B217,B219:B221,B229,B234)</f>
        <v>32.09999999999998</v>
      </c>
      <c r="C110" s="110">
        <f t="shared" si="66"/>
        <v>49.139999999999986</v>
      </c>
      <c r="D110" s="110">
        <f t="shared" si="66"/>
        <v>32.840000000000003</v>
      </c>
      <c r="E110" s="110">
        <f t="shared" si="66"/>
        <v>25.639999999999969</v>
      </c>
      <c r="F110" s="110">
        <f t="shared" si="66"/>
        <v>27.64</v>
      </c>
      <c r="G110" s="110">
        <f t="shared" si="66"/>
        <v>48.440000000000026</v>
      </c>
      <c r="H110" s="110">
        <f t="shared" si="66"/>
        <v>80.140000000000015</v>
      </c>
      <c r="I110" s="110">
        <f t="shared" si="66"/>
        <v>119.24</v>
      </c>
      <c r="J110" s="110">
        <f t="shared" si="66"/>
        <v>166.24000000000004</v>
      </c>
      <c r="K110" s="110">
        <f t="shared" si="66"/>
        <v>198.94000000000003</v>
      </c>
      <c r="L110" s="110">
        <f t="shared" si="66"/>
        <v>224.94</v>
      </c>
      <c r="M110" s="110">
        <f t="shared" ref="M110" si="67">SUM(M20,M26,M29:M30,M58,M60:M61,M63,M65,M111:M115,M138,M144,M150,M159,M161,M173,M180,M183:M184,M191,M193,M195,M199:M201,M203:M205,M210,M216:M217,M219:M221,M229,M234)</f>
        <v>213.44000000000005</v>
      </c>
      <c r="N110" s="110">
        <f t="shared" si="66"/>
        <v>262.24000000000007</v>
      </c>
      <c r="O110" s="110">
        <f t="shared" si="66"/>
        <v>206.54000000000002</v>
      </c>
      <c r="P110" s="110">
        <v>42</v>
      </c>
      <c r="Q110" s="110">
        <f t="shared" ref="Q110:AF110" si="68">SUM(Q20,Q26,Q29:Q30,Q58,Q60:Q61,Q63,Q65,Q111:Q115,Q138,Q144,Q150,Q159,Q161,Q173,Q180,Q183:Q184,Q191,Q193,Q195,Q199:Q201,Q203:Q205,Q210,Q216:Q217,Q219:Q221,Q229,Q234)</f>
        <v>150.29999999999995</v>
      </c>
      <c r="R110" s="110">
        <f t="shared" si="68"/>
        <v>188.60000000000002</v>
      </c>
      <c r="S110" s="110">
        <f t="shared" ref="S110:T110" si="69">SUM(S20,S26,S29:S30,S58,S60:S61,S63,S65,S111:S115,S138,S144,S150,S159,S161,S173,S180,S183:S184,S191,S193,S195,S199:S201,S203:S205,S210,S216:S217,S219:S221,S229,S234)</f>
        <v>188.60000000000002</v>
      </c>
      <c r="T110" s="110">
        <f t="shared" si="69"/>
        <v>185.7</v>
      </c>
      <c r="U110" s="110">
        <f t="shared" ref="U110:V110" si="70">SUM(U20,U26,U29:U30,U58,U60:U61,U63,U65,U111:U115,U138,U144,U150,U159,U161,U173,U180,U183:U184,U191,U193,U195,U199:U201,U203:U205,U210,U216:U217,U219:U221,U229,U234)</f>
        <v>184.1</v>
      </c>
      <c r="V110" s="110">
        <f t="shared" si="70"/>
        <v>161.19999999999996</v>
      </c>
      <c r="W110" s="110">
        <f t="shared" ref="W110:Y110" si="71">SUM(W20,W26,W29:W30,W58,W60:W61,W63,W65,W111:W115,W138,W144,W150,W159,W161,W173,W180,W183:W184,W191,W193,W195,W199:W201,W203:W205,W210,W216:W217,W219:W221,W229,W234)</f>
        <v>193.39999999999998</v>
      </c>
      <c r="X110" s="110">
        <f t="shared" si="71"/>
        <v>230.89999999999998</v>
      </c>
      <c r="Y110" s="110">
        <f t="shared" si="71"/>
        <v>241.1</v>
      </c>
      <c r="Z110" s="110">
        <f t="shared" ref="Z110:AA110" si="72">SUM(Z20,Z26,Z29:Z30,Z58,Z60:Z61,Z63,Z65,Z111:Z115,Z138,Z144,Z150,Z159,Z161,Z173,Z180,Z183:Z184,Z191,Z193,Z195,Z199:Z201,Z203:Z205,Z210,Z216:Z217,Z219:Z221,Z229,Z234)</f>
        <v>241.1</v>
      </c>
      <c r="AA110" s="110">
        <f t="shared" si="72"/>
        <v>201.8</v>
      </c>
      <c r="AB110" s="110">
        <f t="shared" si="68"/>
        <v>189.5</v>
      </c>
      <c r="AC110" s="110">
        <f t="shared" si="68"/>
        <v>189</v>
      </c>
      <c r="AD110" s="110">
        <f t="shared" si="68"/>
        <v>145.6</v>
      </c>
      <c r="AE110" s="110">
        <f t="shared" si="68"/>
        <v>68.5</v>
      </c>
      <c r="AF110" s="110">
        <f t="shared" si="68"/>
        <v>58.399999999999984</v>
      </c>
      <c r="AG110" s="111"/>
      <c r="AH110" s="47">
        <f t="shared" si="28"/>
        <v>262.24000000000007</v>
      </c>
      <c r="AI110" s="48">
        <f t="shared" si="29"/>
        <v>25.639999999999969</v>
      </c>
    </row>
    <row r="111" spans="1:37" x14ac:dyDescent="0.25">
      <c r="A111" s="99" t="s">
        <v>119</v>
      </c>
      <c r="B111" s="112"/>
      <c r="C111" s="112">
        <v>28.7</v>
      </c>
      <c r="D111" s="112">
        <v>24.8</v>
      </c>
      <c r="E111" s="112">
        <v>20.7</v>
      </c>
      <c r="F111" s="112">
        <v>21.5</v>
      </c>
      <c r="G111" s="112">
        <v>24.3</v>
      </c>
      <c r="H111" s="112">
        <v>27.4</v>
      </c>
      <c r="I111" s="112">
        <v>42.4</v>
      </c>
      <c r="J111" s="112">
        <v>41.6</v>
      </c>
      <c r="K111" s="112">
        <v>53.8</v>
      </c>
      <c r="L111" s="112">
        <v>55.9</v>
      </c>
      <c r="M111" s="112">
        <v>59.5</v>
      </c>
      <c r="N111" s="112">
        <v>57.9</v>
      </c>
      <c r="O111" s="112">
        <v>55.8</v>
      </c>
      <c r="P111" s="112">
        <v>54.2</v>
      </c>
      <c r="Q111" s="112">
        <v>54.2</v>
      </c>
      <c r="R111" s="112">
        <v>52.4</v>
      </c>
      <c r="S111" s="112">
        <v>52.4</v>
      </c>
      <c r="T111" s="112">
        <v>52.4</v>
      </c>
      <c r="U111" s="112">
        <v>64.099999999999994</v>
      </c>
      <c r="V111" s="112">
        <v>57.9</v>
      </c>
      <c r="W111" s="112">
        <v>75.599999999999994</v>
      </c>
      <c r="X111" s="112">
        <v>50.1</v>
      </c>
      <c r="Y111" s="112">
        <v>51.3</v>
      </c>
      <c r="Z111" s="112">
        <v>51.3</v>
      </c>
      <c r="AA111" s="112">
        <v>52.4</v>
      </c>
      <c r="AB111" s="112">
        <v>53.5</v>
      </c>
      <c r="AC111" s="112">
        <v>51.1</v>
      </c>
      <c r="AD111" s="112">
        <v>49.8</v>
      </c>
      <c r="AE111" s="112">
        <v>37</v>
      </c>
      <c r="AF111" s="112">
        <v>32.700000000000003</v>
      </c>
      <c r="AG111" s="113">
        <v>75</v>
      </c>
      <c r="AH111" s="47">
        <f t="shared" si="28"/>
        <v>75.599999999999994</v>
      </c>
      <c r="AI111" s="48">
        <f t="shared" si="29"/>
        <v>20.7</v>
      </c>
    </row>
    <row r="112" spans="1:37" x14ac:dyDescent="0.25">
      <c r="A112" s="102" t="s">
        <v>120</v>
      </c>
      <c r="B112" s="114">
        <v>45.2</v>
      </c>
      <c r="C112" s="114">
        <v>45</v>
      </c>
      <c r="D112" s="114">
        <v>40</v>
      </c>
      <c r="E112" s="114">
        <v>32.700000000000003</v>
      </c>
      <c r="F112" s="114">
        <v>33.4</v>
      </c>
      <c r="G112" s="114">
        <v>37.200000000000003</v>
      </c>
      <c r="H112" s="114">
        <v>41.8</v>
      </c>
      <c r="I112" s="114">
        <v>63.9</v>
      </c>
      <c r="J112" s="114">
        <v>62.3</v>
      </c>
      <c r="K112" s="114">
        <v>77.599999999999994</v>
      </c>
      <c r="L112" s="114">
        <v>79.099999999999994</v>
      </c>
      <c r="M112" s="114">
        <v>81.900000000000006</v>
      </c>
      <c r="N112" s="114">
        <v>81</v>
      </c>
      <c r="O112" s="114">
        <v>79.2</v>
      </c>
      <c r="P112" s="114">
        <v>77.599999999999994</v>
      </c>
      <c r="Q112" s="114">
        <v>77.599999999999994</v>
      </c>
      <c r="R112" s="114">
        <v>75.7</v>
      </c>
      <c r="S112" s="114">
        <v>75.7</v>
      </c>
      <c r="T112" s="114">
        <v>75.7</v>
      </c>
      <c r="U112" s="114">
        <v>86.5</v>
      </c>
      <c r="V112" s="114">
        <v>78.900000000000006</v>
      </c>
      <c r="W112" s="114">
        <v>108.2</v>
      </c>
      <c r="X112" s="114">
        <v>67.7</v>
      </c>
      <c r="Y112" s="114">
        <v>71</v>
      </c>
      <c r="Z112" s="114">
        <v>71</v>
      </c>
      <c r="AA112" s="114">
        <v>73.400000000000006</v>
      </c>
      <c r="AB112" s="114">
        <v>75.3</v>
      </c>
      <c r="AC112" s="114">
        <v>74.5</v>
      </c>
      <c r="AD112" s="114">
        <v>72.5</v>
      </c>
      <c r="AE112" s="114">
        <v>52.7</v>
      </c>
      <c r="AF112" s="114">
        <v>50.6</v>
      </c>
      <c r="AG112" s="113">
        <v>240</v>
      </c>
      <c r="AH112" s="47">
        <f t="shared" si="28"/>
        <v>108.2</v>
      </c>
      <c r="AI112" s="48">
        <f t="shared" si="29"/>
        <v>32.700000000000003</v>
      </c>
    </row>
    <row r="113" spans="1:37" x14ac:dyDescent="0.25">
      <c r="A113" s="102" t="s">
        <v>121</v>
      </c>
      <c r="B113" s="114">
        <v>-162.4</v>
      </c>
      <c r="C113" s="114">
        <v>-173</v>
      </c>
      <c r="D113" s="114">
        <v>-173</v>
      </c>
      <c r="E113" s="114">
        <f>-80.5-84</f>
        <v>-164.5</v>
      </c>
      <c r="F113" s="114">
        <f>-81.4-85.9</f>
        <v>-167.3</v>
      </c>
      <c r="G113" s="114">
        <f>-76.7-81.2</f>
        <v>-157.9</v>
      </c>
      <c r="H113" s="114">
        <f>-68.8-73</f>
        <v>-141.80000000000001</v>
      </c>
      <c r="I113" s="114">
        <f>-73.6-77</f>
        <v>-150.6</v>
      </c>
      <c r="J113" s="114">
        <f>-51.9-55.7</f>
        <v>-107.6</v>
      </c>
      <c r="K113" s="114">
        <f>-53.8-58.4</f>
        <v>-112.19999999999999</v>
      </c>
      <c r="L113" s="114">
        <f>-59.2-58.5</f>
        <v>-117.7</v>
      </c>
      <c r="M113" s="114">
        <f>-55.7-58.6</f>
        <v>-114.30000000000001</v>
      </c>
      <c r="N113" s="114">
        <v>-55</v>
      </c>
      <c r="O113" s="114">
        <v>-120</v>
      </c>
      <c r="P113" s="114">
        <v>-164</v>
      </c>
      <c r="Q113" s="114">
        <v>-164</v>
      </c>
      <c r="R113" s="114">
        <v>-120</v>
      </c>
      <c r="S113" s="114">
        <v>-120</v>
      </c>
      <c r="T113" s="114">
        <v>-120</v>
      </c>
      <c r="U113" s="114">
        <v>-151.5</v>
      </c>
      <c r="V113" s="114">
        <v>-140.9</v>
      </c>
      <c r="W113" s="114">
        <v>-155.69999999999999</v>
      </c>
      <c r="X113" s="114">
        <v>-79.8</v>
      </c>
      <c r="Y113" s="114">
        <v>-99.9</v>
      </c>
      <c r="Z113" s="114">
        <v>-99.9</v>
      </c>
      <c r="AA113" s="114">
        <v>-132.6</v>
      </c>
      <c r="AB113" s="114">
        <v>-121</v>
      </c>
      <c r="AC113" s="114">
        <v>-117</v>
      </c>
      <c r="AD113" s="114">
        <v>-154</v>
      </c>
      <c r="AE113" s="114">
        <v>-165</v>
      </c>
      <c r="AF113" s="114">
        <v>-169</v>
      </c>
      <c r="AG113" s="113">
        <v>240</v>
      </c>
      <c r="AH113" s="47">
        <f t="shared" si="28"/>
        <v>-55</v>
      </c>
      <c r="AI113" s="48">
        <f t="shared" si="29"/>
        <v>-173</v>
      </c>
    </row>
    <row r="114" spans="1:37" x14ac:dyDescent="0.25">
      <c r="A114" s="102" t="s">
        <v>122</v>
      </c>
      <c r="B114" s="114">
        <v>-16.2</v>
      </c>
      <c r="C114" s="114">
        <v>-18</v>
      </c>
      <c r="D114" s="114">
        <v>-19.5</v>
      </c>
      <c r="E114" s="114">
        <v>-21.9</v>
      </c>
      <c r="F114" s="114">
        <v>-18.8</v>
      </c>
      <c r="G114" s="114">
        <v>-14</v>
      </c>
      <c r="H114" s="114">
        <v>-12.4</v>
      </c>
      <c r="I114" s="114">
        <v>-10.3</v>
      </c>
      <c r="J114" s="114">
        <v>-4.2</v>
      </c>
      <c r="K114" s="114">
        <v>-1.9</v>
      </c>
      <c r="L114" s="114">
        <v>25.3</v>
      </c>
      <c r="M114" s="114">
        <v>0</v>
      </c>
      <c r="N114" s="114">
        <v>-4</v>
      </c>
      <c r="O114" s="114">
        <v>5.2</v>
      </c>
      <c r="P114" s="114">
        <v>3</v>
      </c>
      <c r="Q114" s="114">
        <v>3</v>
      </c>
      <c r="R114" s="114">
        <v>1</v>
      </c>
      <c r="S114" s="114">
        <v>1</v>
      </c>
      <c r="T114" s="114">
        <v>1</v>
      </c>
      <c r="U114" s="114">
        <v>9.9</v>
      </c>
      <c r="V114" s="114">
        <v>0.7</v>
      </c>
      <c r="W114" s="114">
        <v>0.7</v>
      </c>
      <c r="X114" s="114">
        <v>28.3</v>
      </c>
      <c r="Y114" s="114">
        <v>37</v>
      </c>
      <c r="Z114" s="114">
        <v>37</v>
      </c>
      <c r="AA114" s="114">
        <v>26.9</v>
      </c>
      <c r="AB114" s="114">
        <v>0</v>
      </c>
      <c r="AC114" s="114">
        <v>-1.3</v>
      </c>
      <c r="AD114" s="114">
        <v>-4.4000000000000004</v>
      </c>
      <c r="AE114" s="114">
        <v>-24.5</v>
      </c>
      <c r="AF114" s="114">
        <v>-23.9</v>
      </c>
      <c r="AG114" s="113">
        <v>60</v>
      </c>
      <c r="AH114" s="47">
        <f t="shared" si="28"/>
        <v>37</v>
      </c>
      <c r="AI114" s="48">
        <f t="shared" si="29"/>
        <v>-24.5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-4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28"/>
        <v>0</v>
      </c>
      <c r="AI115" s="48">
        <f t="shared" si="29"/>
        <v>-4</v>
      </c>
    </row>
    <row r="116" spans="1:37" x14ac:dyDescent="0.25">
      <c r="A116" s="115" t="s">
        <v>124</v>
      </c>
      <c r="B116" s="116">
        <v>9.6999999999999993</v>
      </c>
      <c r="C116" s="116">
        <v>4</v>
      </c>
      <c r="D116" s="116">
        <v>5.2</v>
      </c>
      <c r="E116" s="116">
        <v>14.1</v>
      </c>
      <c r="F116" s="116">
        <v>17.399999999999999</v>
      </c>
      <c r="G116" s="116">
        <v>24.6</v>
      </c>
      <c r="H116" s="116">
        <v>40.1</v>
      </c>
      <c r="I116" s="116">
        <v>-7.2</v>
      </c>
      <c r="J116" s="116">
        <v>37</v>
      </c>
      <c r="K116" s="116">
        <v>32.299999999999997</v>
      </c>
      <c r="L116" s="116">
        <v>16.100000000000001</v>
      </c>
      <c r="M116" s="116">
        <v>34.4</v>
      </c>
      <c r="N116" s="116">
        <v>55</v>
      </c>
      <c r="O116" s="116">
        <v>36.299999999999997</v>
      </c>
      <c r="P116" s="116">
        <v>19.600000000000001</v>
      </c>
      <c r="Q116" s="116">
        <v>19.600000000000001</v>
      </c>
      <c r="R116" s="116">
        <v>5.3</v>
      </c>
      <c r="S116" s="116">
        <v>5.3</v>
      </c>
      <c r="T116" s="116">
        <v>5.3</v>
      </c>
      <c r="U116" s="116">
        <v>40.6</v>
      </c>
      <c r="V116" s="116">
        <v>55.5</v>
      </c>
      <c r="W116" s="116">
        <v>90.6</v>
      </c>
      <c r="X116" s="116">
        <v>71</v>
      </c>
      <c r="Y116" s="116">
        <v>40.4</v>
      </c>
      <c r="Z116" s="116">
        <v>40.4</v>
      </c>
      <c r="AA116" s="116">
        <v>9.6</v>
      </c>
      <c r="AB116" s="116">
        <v>18.3</v>
      </c>
      <c r="AC116" s="116">
        <v>17.899999999999999</v>
      </c>
      <c r="AD116" s="116">
        <v>-12.7</v>
      </c>
      <c r="AE116" s="116">
        <v>-12.6</v>
      </c>
      <c r="AF116" s="116">
        <v>8.1999999999999993</v>
      </c>
      <c r="AG116" s="117"/>
      <c r="AH116" s="47">
        <f t="shared" si="28"/>
        <v>90.6</v>
      </c>
      <c r="AI116" s="48">
        <f t="shared" si="29"/>
        <v>-12.7</v>
      </c>
    </row>
    <row r="117" spans="1:37" x14ac:dyDescent="0.25">
      <c r="A117" s="115" t="s">
        <v>125</v>
      </c>
      <c r="B117" s="116">
        <v>7.5</v>
      </c>
      <c r="C117" s="116">
        <v>6.3</v>
      </c>
      <c r="D117" s="116">
        <v>8.1999999999999993</v>
      </c>
      <c r="E117" s="116">
        <v>12.2</v>
      </c>
      <c r="F117" s="116">
        <v>11.9</v>
      </c>
      <c r="G117" s="116">
        <v>6.3</v>
      </c>
      <c r="H117" s="116">
        <v>7.8</v>
      </c>
      <c r="I117" s="116">
        <v>-8.1999999999999993</v>
      </c>
      <c r="J117" s="116">
        <v>2.6</v>
      </c>
      <c r="K117" s="116">
        <v>-7.1</v>
      </c>
      <c r="L117" s="116">
        <v>-11.2</v>
      </c>
      <c r="M117" s="116">
        <v>-15</v>
      </c>
      <c r="N117" s="116">
        <v>-10.9</v>
      </c>
      <c r="O117" s="116">
        <v>-13</v>
      </c>
      <c r="P117" s="116">
        <v>-20</v>
      </c>
      <c r="Q117" s="116">
        <v>-20</v>
      </c>
      <c r="R117" s="116">
        <v>-9.6</v>
      </c>
      <c r="S117" s="116">
        <v>-9.6</v>
      </c>
      <c r="T117" s="116">
        <v>-9.6</v>
      </c>
      <c r="U117" s="116">
        <v>-7.9</v>
      </c>
      <c r="V117" s="116">
        <v>-4.25</v>
      </c>
      <c r="W117" s="116">
        <v>1.2</v>
      </c>
      <c r="X117" s="116">
        <v>-20.9</v>
      </c>
      <c r="Y117" s="116">
        <v>-9.8000000000000007</v>
      </c>
      <c r="Z117" s="116">
        <v>-9.8000000000000007</v>
      </c>
      <c r="AA117" s="116">
        <v>-14.1</v>
      </c>
      <c r="AB117" s="116">
        <v>-24.9</v>
      </c>
      <c r="AC117" s="116">
        <v>-6.6</v>
      </c>
      <c r="AD117" s="116">
        <v>-6</v>
      </c>
      <c r="AE117" s="116">
        <v>-9.4</v>
      </c>
      <c r="AF117" s="116">
        <v>-4.5999999999999996</v>
      </c>
      <c r="AG117" s="118"/>
      <c r="AH117" s="47">
        <f t="shared" si="28"/>
        <v>12.2</v>
      </c>
      <c r="AI117" s="48">
        <f t="shared" si="29"/>
        <v>-24.9</v>
      </c>
    </row>
    <row r="118" spans="1:37" x14ac:dyDescent="0.25">
      <c r="A118" s="119" t="s">
        <v>126</v>
      </c>
      <c r="B118" s="105">
        <v>74.400000000000006</v>
      </c>
      <c r="C118" s="105">
        <v>78</v>
      </c>
      <c r="D118" s="105">
        <v>80</v>
      </c>
      <c r="E118" s="105">
        <v>82.3</v>
      </c>
      <c r="F118" s="105">
        <v>84.1</v>
      </c>
      <c r="G118" s="105">
        <v>84.1</v>
      </c>
      <c r="H118" s="105">
        <v>82.9</v>
      </c>
      <c r="I118" s="105">
        <v>82.1</v>
      </c>
      <c r="J118" s="105">
        <v>72</v>
      </c>
      <c r="K118" s="105">
        <v>74.8</v>
      </c>
      <c r="L118" s="105">
        <v>67.400000000000006</v>
      </c>
      <c r="M118" s="105">
        <v>71</v>
      </c>
      <c r="N118" s="105">
        <v>58</v>
      </c>
      <c r="O118" s="105">
        <v>51.9</v>
      </c>
      <c r="P118" s="105">
        <v>67</v>
      </c>
      <c r="Q118" s="105">
        <v>67</v>
      </c>
      <c r="R118" s="105">
        <v>52</v>
      </c>
      <c r="S118" s="105">
        <v>52</v>
      </c>
      <c r="T118" s="105">
        <v>52</v>
      </c>
      <c r="U118" s="105">
        <v>60.4</v>
      </c>
      <c r="V118" s="105">
        <v>54.8</v>
      </c>
      <c r="W118" s="105">
        <v>43.9</v>
      </c>
      <c r="X118" s="105">
        <v>41</v>
      </c>
      <c r="Y118" s="105">
        <v>40.5</v>
      </c>
      <c r="Z118" s="105">
        <v>40.5</v>
      </c>
      <c r="AA118" s="105">
        <v>46.3</v>
      </c>
      <c r="AB118" s="105">
        <v>50.1</v>
      </c>
      <c r="AC118" s="105">
        <v>53.4</v>
      </c>
      <c r="AD118" s="105">
        <v>56.5</v>
      </c>
      <c r="AE118" s="105">
        <v>63.8</v>
      </c>
      <c r="AF118" s="105">
        <v>67.8</v>
      </c>
      <c r="AG118" s="118"/>
      <c r="AH118" s="47">
        <f t="shared" si="28"/>
        <v>84.1</v>
      </c>
      <c r="AI118" s="48">
        <f t="shared" si="29"/>
        <v>40.5</v>
      </c>
    </row>
    <row r="119" spans="1:37" x14ac:dyDescent="0.25">
      <c r="A119" s="120" t="s">
        <v>127</v>
      </c>
      <c r="B119" s="105">
        <v>85.1</v>
      </c>
      <c r="C119" s="105">
        <v>92</v>
      </c>
      <c r="D119" s="105">
        <v>89</v>
      </c>
      <c r="E119" s="105">
        <v>81.3</v>
      </c>
      <c r="F119" s="105">
        <v>81.400000000000006</v>
      </c>
      <c r="G119" s="105">
        <v>78.900000000000006</v>
      </c>
      <c r="H119" s="105">
        <v>68.900000000000006</v>
      </c>
      <c r="I119" s="105">
        <v>87.1</v>
      </c>
      <c r="J119" s="105">
        <v>61.2</v>
      </c>
      <c r="K119" s="105">
        <v>66.2</v>
      </c>
      <c r="L119" s="105">
        <v>73.099999999999994</v>
      </c>
      <c r="M119" s="105">
        <v>70.5</v>
      </c>
      <c r="N119" s="105">
        <v>60</v>
      </c>
      <c r="O119" s="105">
        <v>72.7</v>
      </c>
      <c r="P119" s="105">
        <v>79</v>
      </c>
      <c r="Q119" s="105">
        <v>79</v>
      </c>
      <c r="R119" s="105">
        <v>76.8</v>
      </c>
      <c r="S119" s="105">
        <v>76.8</v>
      </c>
      <c r="T119" s="105">
        <v>76.8</v>
      </c>
      <c r="U119" s="105">
        <v>76.8</v>
      </c>
      <c r="V119" s="105">
        <v>45.4</v>
      </c>
      <c r="W119" s="105">
        <v>37.5</v>
      </c>
      <c r="X119" s="105">
        <v>47.5</v>
      </c>
      <c r="Y119" s="105">
        <v>62.1</v>
      </c>
      <c r="Z119" s="105">
        <v>62.1</v>
      </c>
      <c r="AA119" s="105">
        <v>83.1</v>
      </c>
      <c r="AB119" s="105">
        <v>82.3</v>
      </c>
      <c r="AC119" s="105">
        <v>82.8</v>
      </c>
      <c r="AD119" s="105">
        <v>95.2</v>
      </c>
      <c r="AE119" s="105">
        <v>96.8</v>
      </c>
      <c r="AF119" s="105">
        <v>95.9</v>
      </c>
      <c r="AG119" s="118"/>
      <c r="AH119" s="47">
        <f t="shared" si="28"/>
        <v>96.8</v>
      </c>
      <c r="AI119" s="48">
        <f t="shared" si="29"/>
        <v>37.5</v>
      </c>
    </row>
    <row r="120" spans="1:37" ht="15.75" thickBot="1" x14ac:dyDescent="0.3">
      <c r="A120" s="119" t="s">
        <v>128</v>
      </c>
      <c r="B120" s="105">
        <v>-7.2</v>
      </c>
      <c r="C120" s="105">
        <v>-13</v>
      </c>
      <c r="D120" s="105">
        <v>-16.399999999999999</v>
      </c>
      <c r="E120" s="105">
        <v>-23</v>
      </c>
      <c r="F120" s="105">
        <v>-22</v>
      </c>
      <c r="G120" s="105">
        <v>-27.1</v>
      </c>
      <c r="H120" s="105">
        <v>-28.5</v>
      </c>
      <c r="I120" s="105">
        <v>-32.700000000000003</v>
      </c>
      <c r="J120" s="105">
        <v>-24.9</v>
      </c>
      <c r="K120" s="105">
        <v>-20.5</v>
      </c>
      <c r="L120" s="105">
        <v>-12.2</v>
      </c>
      <c r="M120" s="105">
        <v>-21</v>
      </c>
      <c r="N120" s="105">
        <v>-17</v>
      </c>
      <c r="O120" s="105">
        <v>-11</v>
      </c>
      <c r="P120" s="105">
        <v>-18</v>
      </c>
      <c r="Q120" s="105">
        <v>-18</v>
      </c>
      <c r="R120" s="105">
        <v>-8</v>
      </c>
      <c r="S120" s="105">
        <v>-8</v>
      </c>
      <c r="T120" s="105">
        <v>-8</v>
      </c>
      <c r="U120" s="105">
        <v>-5.9</v>
      </c>
      <c r="V120" s="105">
        <v>-10.3</v>
      </c>
      <c r="W120" s="105">
        <v>5.2</v>
      </c>
      <c r="X120" s="105">
        <v>11.5</v>
      </c>
      <c r="Y120" s="105">
        <v>18.5</v>
      </c>
      <c r="Z120" s="105">
        <v>18.5</v>
      </c>
      <c r="AA120" s="105">
        <v>8.4</v>
      </c>
      <c r="AB120" s="105">
        <v>13.7</v>
      </c>
      <c r="AC120" s="105">
        <v>11.9</v>
      </c>
      <c r="AD120" s="105">
        <v>6.7</v>
      </c>
      <c r="AE120" s="105">
        <v>-0.3</v>
      </c>
      <c r="AF120" s="105">
        <v>-2.7</v>
      </c>
      <c r="AG120" s="118"/>
      <c r="AH120" s="47">
        <f t="shared" si="28"/>
        <v>18.5</v>
      </c>
      <c r="AI120" s="48">
        <f t="shared" si="29"/>
        <v>-32.700000000000003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73">SUM(B122:B226)</f>
        <v>0</v>
      </c>
      <c r="C227" s="136">
        <f t="shared" si="73"/>
        <v>0</v>
      </c>
      <c r="D227" s="136">
        <f t="shared" si="73"/>
        <v>0</v>
      </c>
      <c r="E227" s="136">
        <f t="shared" si="73"/>
        <v>0</v>
      </c>
      <c r="F227" s="136">
        <f t="shared" si="73"/>
        <v>0</v>
      </c>
      <c r="G227" s="136">
        <f t="shared" si="73"/>
        <v>0</v>
      </c>
      <c r="H227" s="136">
        <f t="shared" si="73"/>
        <v>0</v>
      </c>
      <c r="I227" s="136">
        <f t="shared" si="73"/>
        <v>0</v>
      </c>
      <c r="J227" s="136">
        <f t="shared" si="73"/>
        <v>0</v>
      </c>
      <c r="K227" s="136">
        <f t="shared" si="73"/>
        <v>0</v>
      </c>
      <c r="L227" s="136">
        <f t="shared" si="73"/>
        <v>0</v>
      </c>
      <c r="M227" s="136">
        <f t="shared" si="73"/>
        <v>0</v>
      </c>
      <c r="N227" s="136">
        <f t="shared" si="73"/>
        <v>0</v>
      </c>
      <c r="O227" s="136">
        <f t="shared" si="73"/>
        <v>0</v>
      </c>
      <c r="P227" s="136">
        <f t="shared" si="73"/>
        <v>0</v>
      </c>
      <c r="Q227" s="136">
        <f t="shared" si="73"/>
        <v>0</v>
      </c>
      <c r="R227" s="136">
        <f t="shared" si="73"/>
        <v>0</v>
      </c>
      <c r="S227" s="136">
        <f t="shared" si="73"/>
        <v>0</v>
      </c>
      <c r="T227" s="136">
        <f t="shared" si="73"/>
        <v>0</v>
      </c>
      <c r="U227" s="136">
        <f t="shared" si="73"/>
        <v>0</v>
      </c>
      <c r="V227" s="136">
        <f t="shared" si="73"/>
        <v>0</v>
      </c>
      <c r="W227" s="136">
        <f t="shared" si="73"/>
        <v>0</v>
      </c>
      <c r="X227" s="136">
        <f t="shared" si="73"/>
        <v>0</v>
      </c>
      <c r="Y227" s="136">
        <f t="shared" si="73"/>
        <v>0</v>
      </c>
      <c r="Z227" s="136">
        <f t="shared" si="73"/>
        <v>0</v>
      </c>
      <c r="AA227" s="136">
        <f t="shared" si="73"/>
        <v>0</v>
      </c>
      <c r="AB227" s="136">
        <f t="shared" si="73"/>
        <v>0</v>
      </c>
      <c r="AC227" s="136">
        <f t="shared" si="73"/>
        <v>0</v>
      </c>
      <c r="AD227" s="136">
        <f t="shared" si="73"/>
        <v>0</v>
      </c>
      <c r="AE227" s="136">
        <f t="shared" si="73"/>
        <v>0</v>
      </c>
      <c r="AF227" s="137">
        <f t="shared" si="73"/>
        <v>0</v>
      </c>
      <c r="AG227" s="138">
        <f t="shared" si="73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74">AF229</f>
        <v>0</v>
      </c>
      <c r="C229" s="140">
        <v>0.3</v>
      </c>
      <c r="D229" s="140">
        <f t="shared" ref="D229:P234" si="75">C229</f>
        <v>0.3</v>
      </c>
      <c r="E229" s="140">
        <f t="shared" si="75"/>
        <v>0.3</v>
      </c>
      <c r="F229" s="140">
        <f t="shared" si="75"/>
        <v>0.3</v>
      </c>
      <c r="G229" s="140">
        <f t="shared" si="75"/>
        <v>0.3</v>
      </c>
      <c r="H229" s="140">
        <f t="shared" si="75"/>
        <v>0.3</v>
      </c>
      <c r="I229" s="140">
        <f t="shared" si="75"/>
        <v>0.3</v>
      </c>
      <c r="J229" s="140">
        <f t="shared" si="75"/>
        <v>0.3</v>
      </c>
      <c r="K229" s="140">
        <f t="shared" si="75"/>
        <v>0.3</v>
      </c>
      <c r="L229" s="140">
        <f t="shared" si="75"/>
        <v>0.3</v>
      </c>
      <c r="M229" s="140">
        <f t="shared" si="75"/>
        <v>0.3</v>
      </c>
      <c r="N229" s="140">
        <f t="shared" si="75"/>
        <v>0.3</v>
      </c>
      <c r="O229" s="140">
        <f t="shared" si="75"/>
        <v>0.3</v>
      </c>
      <c r="P229" s="140">
        <f t="shared" si="75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74"/>
        <v>0</v>
      </c>
      <c r="C230" s="128">
        <v>0.4</v>
      </c>
      <c r="D230" s="128">
        <f t="shared" si="75"/>
        <v>0.4</v>
      </c>
      <c r="E230" s="128">
        <f t="shared" si="75"/>
        <v>0.4</v>
      </c>
      <c r="F230" s="128">
        <f t="shared" si="75"/>
        <v>0.4</v>
      </c>
      <c r="G230" s="128">
        <f t="shared" si="75"/>
        <v>0.4</v>
      </c>
      <c r="H230" s="128">
        <f t="shared" si="75"/>
        <v>0.4</v>
      </c>
      <c r="I230" s="128">
        <f t="shared" si="75"/>
        <v>0.4</v>
      </c>
      <c r="J230" s="128">
        <f t="shared" si="75"/>
        <v>0.4</v>
      </c>
      <c r="K230" s="128">
        <f t="shared" si="75"/>
        <v>0.4</v>
      </c>
      <c r="L230" s="128">
        <f t="shared" si="75"/>
        <v>0.4</v>
      </c>
      <c r="M230" s="128">
        <f t="shared" si="75"/>
        <v>0.4</v>
      </c>
      <c r="N230" s="128">
        <f t="shared" si="75"/>
        <v>0.4</v>
      </c>
      <c r="O230" s="128">
        <f t="shared" si="75"/>
        <v>0.4</v>
      </c>
      <c r="P230" s="128">
        <f t="shared" si="75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74"/>
        <v>0</v>
      </c>
      <c r="C231" s="128">
        <v>1.5</v>
      </c>
      <c r="D231" s="128">
        <f t="shared" si="75"/>
        <v>1.5</v>
      </c>
      <c r="E231" s="128">
        <f t="shared" si="75"/>
        <v>1.5</v>
      </c>
      <c r="F231" s="128">
        <f t="shared" si="75"/>
        <v>1.5</v>
      </c>
      <c r="G231" s="128">
        <f t="shared" si="75"/>
        <v>1.5</v>
      </c>
      <c r="H231" s="128">
        <f t="shared" si="75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75"/>
        <v>123.21900000000009</v>
      </c>
      <c r="K231" s="128">
        <f t="shared" ca="1" si="75"/>
        <v>123.21900000000009</v>
      </c>
      <c r="L231" s="128">
        <f t="shared" ca="1" si="75"/>
        <v>123.21900000000009</v>
      </c>
      <c r="M231" s="128">
        <f t="shared" ca="1" si="75"/>
        <v>119.19900000000008</v>
      </c>
      <c r="N231" s="128">
        <f t="shared" ca="1" si="75"/>
        <v>119.19900000000008</v>
      </c>
      <c r="O231" s="128">
        <f t="shared" ca="1" si="75"/>
        <v>119.19900000000008</v>
      </c>
      <c r="P231" s="128">
        <f t="shared" ca="1" si="75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74"/>
        <v>0</v>
      </c>
      <c r="C232" s="128">
        <v>0.3</v>
      </c>
      <c r="D232" s="128">
        <f t="shared" si="75"/>
        <v>0.3</v>
      </c>
      <c r="E232" s="128">
        <f t="shared" si="75"/>
        <v>0.3</v>
      </c>
      <c r="F232" s="128">
        <f t="shared" si="75"/>
        <v>0.3</v>
      </c>
      <c r="G232" s="128">
        <f t="shared" si="75"/>
        <v>0.3</v>
      </c>
      <c r="H232" s="128">
        <f t="shared" si="75"/>
        <v>0.3</v>
      </c>
      <c r="I232" s="128">
        <f t="shared" si="75"/>
        <v>0.3</v>
      </c>
      <c r="J232" s="128">
        <f t="shared" si="75"/>
        <v>0.3</v>
      </c>
      <c r="K232" s="128">
        <f t="shared" si="75"/>
        <v>0.3</v>
      </c>
      <c r="L232" s="128">
        <f t="shared" si="75"/>
        <v>0.3</v>
      </c>
      <c r="M232" s="128">
        <f t="shared" si="75"/>
        <v>0.3</v>
      </c>
      <c r="N232" s="128">
        <f t="shared" si="75"/>
        <v>0.3</v>
      </c>
      <c r="O232" s="128">
        <f t="shared" si="75"/>
        <v>0.3</v>
      </c>
      <c r="P232" s="128">
        <f t="shared" si="75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74"/>
        <v>0</v>
      </c>
      <c r="C233" s="128">
        <v>0.4</v>
      </c>
      <c r="D233" s="128">
        <f t="shared" si="75"/>
        <v>0.4</v>
      </c>
      <c r="E233" s="128">
        <f t="shared" si="75"/>
        <v>0.4</v>
      </c>
      <c r="F233" s="128">
        <f t="shared" si="75"/>
        <v>0.4</v>
      </c>
      <c r="G233" s="128">
        <f t="shared" si="75"/>
        <v>0.4</v>
      </c>
      <c r="H233" s="128">
        <f t="shared" si="75"/>
        <v>0.4</v>
      </c>
      <c r="I233" s="128">
        <f t="shared" si="75"/>
        <v>0.4</v>
      </c>
      <c r="J233" s="128">
        <f t="shared" si="75"/>
        <v>0.4</v>
      </c>
      <c r="K233" s="128">
        <f t="shared" si="75"/>
        <v>0.4</v>
      </c>
      <c r="L233" s="128">
        <f t="shared" si="75"/>
        <v>0.4</v>
      </c>
      <c r="M233" s="128">
        <f t="shared" si="75"/>
        <v>0.4</v>
      </c>
      <c r="N233" s="128">
        <f t="shared" si="75"/>
        <v>0.4</v>
      </c>
      <c r="O233" s="128">
        <f t="shared" si="75"/>
        <v>0.4</v>
      </c>
      <c r="P233" s="128">
        <f t="shared" si="75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74"/>
        <v>0</v>
      </c>
      <c r="C234" s="132">
        <v>0.64</v>
      </c>
      <c r="D234" s="132">
        <f t="shared" si="75"/>
        <v>0.64</v>
      </c>
      <c r="E234" s="132">
        <f t="shared" si="75"/>
        <v>0.64</v>
      </c>
      <c r="F234" s="132">
        <f t="shared" si="75"/>
        <v>0.64</v>
      </c>
      <c r="G234" s="132">
        <f t="shared" si="75"/>
        <v>0.64</v>
      </c>
      <c r="H234" s="132">
        <f t="shared" si="75"/>
        <v>0.64</v>
      </c>
      <c r="I234" s="132">
        <f t="shared" si="75"/>
        <v>0.64</v>
      </c>
      <c r="J234" s="132">
        <f t="shared" si="75"/>
        <v>0.64</v>
      </c>
      <c r="K234" s="132">
        <f t="shared" si="75"/>
        <v>0.64</v>
      </c>
      <c r="L234" s="132">
        <f t="shared" si="75"/>
        <v>0.64</v>
      </c>
      <c r="M234" s="132">
        <f t="shared" si="75"/>
        <v>0.64</v>
      </c>
      <c r="N234" s="132">
        <f t="shared" si="75"/>
        <v>0.64</v>
      </c>
      <c r="O234" s="132">
        <f t="shared" si="75"/>
        <v>0.64</v>
      </c>
      <c r="P234" s="132">
        <f t="shared" si="75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76">SUM(B229:B234)</f>
        <v>0</v>
      </c>
      <c r="C235" s="136">
        <f t="shared" si="76"/>
        <v>3.54</v>
      </c>
      <c r="D235" s="136">
        <f t="shared" si="76"/>
        <v>3.54</v>
      </c>
      <c r="E235" s="136">
        <f t="shared" si="76"/>
        <v>3.54</v>
      </c>
      <c r="F235" s="136">
        <f t="shared" si="76"/>
        <v>3.54</v>
      </c>
      <c r="G235" s="136">
        <f t="shared" si="76"/>
        <v>3.54</v>
      </c>
      <c r="H235" s="136">
        <f t="shared" si="76"/>
        <v>3.54</v>
      </c>
      <c r="I235" s="136">
        <f t="shared" ca="1" si="76"/>
        <v>121.23900000000009</v>
      </c>
      <c r="J235" s="136">
        <f t="shared" ca="1" si="76"/>
        <v>121.23900000000009</v>
      </c>
      <c r="K235" s="136">
        <f t="shared" ca="1" si="76"/>
        <v>121.23900000000009</v>
      </c>
      <c r="L235" s="136">
        <f t="shared" ca="1" si="76"/>
        <v>125.2590000000001</v>
      </c>
      <c r="M235" s="136">
        <f t="shared" ca="1" si="76"/>
        <v>121.23900000000009</v>
      </c>
      <c r="N235" s="136">
        <f t="shared" ca="1" si="76"/>
        <v>121.23900000000009</v>
      </c>
      <c r="O235" s="136">
        <f t="shared" ca="1" si="76"/>
        <v>121.23900000000009</v>
      </c>
      <c r="P235" s="136">
        <f t="shared" ca="1" si="76"/>
        <v>121.23900000000009</v>
      </c>
      <c r="Q235" s="136">
        <f t="shared" si="76"/>
        <v>0</v>
      </c>
      <c r="R235" s="136">
        <f t="shared" si="76"/>
        <v>0</v>
      </c>
      <c r="S235" s="136">
        <f t="shared" si="76"/>
        <v>0</v>
      </c>
      <c r="T235" s="136">
        <f t="shared" si="76"/>
        <v>0</v>
      </c>
      <c r="U235" s="136">
        <f t="shared" si="76"/>
        <v>0</v>
      </c>
      <c r="V235" s="136">
        <f t="shared" si="76"/>
        <v>0</v>
      </c>
      <c r="W235" s="136">
        <f t="shared" si="76"/>
        <v>0</v>
      </c>
      <c r="X235" s="136">
        <f t="shared" si="76"/>
        <v>0</v>
      </c>
      <c r="Y235" s="136">
        <f t="shared" si="76"/>
        <v>0</v>
      </c>
      <c r="Z235" s="136">
        <f t="shared" si="76"/>
        <v>0</v>
      </c>
      <c r="AA235" s="136">
        <f t="shared" si="76"/>
        <v>0</v>
      </c>
      <c r="AB235" s="136">
        <f t="shared" si="76"/>
        <v>0</v>
      </c>
      <c r="AC235" s="136">
        <f t="shared" si="76"/>
        <v>0</v>
      </c>
      <c r="AD235" s="136">
        <f t="shared" si="76"/>
        <v>0</v>
      </c>
      <c r="AE235" s="136">
        <f t="shared" si="76"/>
        <v>0</v>
      </c>
      <c r="AF235" s="136">
        <f t="shared" si="76"/>
        <v>0</v>
      </c>
      <c r="AG235" s="145">
        <f t="shared" si="76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2184.54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22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2080/06/22)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2080/06/22)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77">B91</f>
        <v>2105.04</v>
      </c>
      <c r="U249" s="170">
        <f t="shared" si="77"/>
        <v>2105.04</v>
      </c>
      <c r="V249" s="170">
        <f t="shared" si="77"/>
        <v>2085.44</v>
      </c>
      <c r="W249" s="170">
        <f t="shared" si="77"/>
        <v>2074.64</v>
      </c>
      <c r="X249" s="170">
        <f t="shared" si="77"/>
        <v>2075.64</v>
      </c>
      <c r="Y249" s="170">
        <f t="shared" si="77"/>
        <v>2075.54</v>
      </c>
      <c r="Z249" s="170">
        <f t="shared" si="77"/>
        <v>2095.54</v>
      </c>
      <c r="AA249" s="170">
        <f t="shared" si="77"/>
        <v>2134.34</v>
      </c>
      <c r="AB249" s="170">
        <f t="shared" si="77"/>
        <v>2134.34</v>
      </c>
      <c r="AC249" s="170">
        <f t="shared" si="77"/>
        <v>2171.7400000000002</v>
      </c>
      <c r="AD249" s="170">
        <f t="shared" si="77"/>
        <v>2170.7400000000002</v>
      </c>
      <c r="AE249" s="170">
        <f t="shared" si="77"/>
        <v>2184.54</v>
      </c>
      <c r="AF249" s="170">
        <f t="shared" si="77"/>
        <v>2184.54</v>
      </c>
      <c r="AG249" s="170">
        <f t="shared" si="77"/>
        <v>2192.54</v>
      </c>
      <c r="AH249" s="170">
        <f t="shared" si="77"/>
        <v>2175.64</v>
      </c>
      <c r="AI249" s="170">
        <f t="shared" si="77"/>
        <v>2175.64</v>
      </c>
      <c r="AJ249" s="170">
        <f t="shared" si="77"/>
        <v>2175.64</v>
      </c>
      <c r="AK249" s="170">
        <f t="shared" si="77"/>
        <v>2178.04</v>
      </c>
      <c r="AL249" s="170">
        <f t="shared" si="77"/>
        <v>2174.94</v>
      </c>
      <c r="AM249" s="170">
        <f t="shared" si="77"/>
        <v>2147.44</v>
      </c>
      <c r="AN249" s="170">
        <f t="shared" si="77"/>
        <v>2118.9400000000005</v>
      </c>
      <c r="AO249" s="170">
        <f t="shared" si="77"/>
        <v>2118.9400000000005</v>
      </c>
      <c r="AP249" s="170">
        <f t="shared" si="77"/>
        <v>2168.7400000000002</v>
      </c>
      <c r="AQ249" s="170">
        <f t="shared" si="77"/>
        <v>2257.94</v>
      </c>
      <c r="AR249" s="170">
        <f t="shared" si="77"/>
        <v>2251.94</v>
      </c>
      <c r="AS249" s="170">
        <f t="shared" si="77"/>
        <v>2240.7400000000002</v>
      </c>
      <c r="AT249" s="170">
        <f t="shared" si="77"/>
        <v>2197.9399999999996</v>
      </c>
      <c r="AU249" s="170">
        <f t="shared" si="77"/>
        <v>2195.2399999999998</v>
      </c>
      <c r="AV249" s="170">
        <f t="shared" si="77"/>
        <v>2195.54</v>
      </c>
      <c r="AW249" s="170">
        <f t="shared" si="77"/>
        <v>2135.34</v>
      </c>
      <c r="AX249" s="170">
        <f t="shared" si="77"/>
        <v>2150.94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78">C234</f>
        <v>0.64</v>
      </c>
      <c r="C270" s="173">
        <f t="shared" si="78"/>
        <v>0.64</v>
      </c>
      <c r="D270" s="173">
        <f t="shared" si="78"/>
        <v>0.64</v>
      </c>
      <c r="E270" s="173">
        <f t="shared" si="78"/>
        <v>0.64</v>
      </c>
      <c r="F270" s="173">
        <f t="shared" si="78"/>
        <v>0.64</v>
      </c>
      <c r="G270" s="173">
        <f t="shared" si="78"/>
        <v>0.64</v>
      </c>
      <c r="H270" s="173">
        <f t="shared" si="78"/>
        <v>0.64</v>
      </c>
      <c r="I270" s="173">
        <f t="shared" si="78"/>
        <v>0.64</v>
      </c>
      <c r="J270" s="173">
        <f t="shared" si="78"/>
        <v>0.64</v>
      </c>
      <c r="K270" s="173">
        <f t="shared" si="78"/>
        <v>0.64</v>
      </c>
      <c r="L270" s="173">
        <f t="shared" si="78"/>
        <v>0.64</v>
      </c>
      <c r="M270" s="173">
        <f t="shared" si="78"/>
        <v>0.64</v>
      </c>
      <c r="N270" s="173">
        <f t="shared" si="78"/>
        <v>0.64</v>
      </c>
      <c r="O270" s="173">
        <f t="shared" si="78"/>
        <v>0.64</v>
      </c>
      <c r="P270" s="173">
        <f t="shared" si="78"/>
        <v>0</v>
      </c>
      <c r="Q270" s="173">
        <f t="shared" si="78"/>
        <v>0</v>
      </c>
      <c r="R270" s="173">
        <f t="shared" si="78"/>
        <v>0</v>
      </c>
      <c r="S270" s="173">
        <f t="shared" si="78"/>
        <v>0</v>
      </c>
      <c r="T270" s="173">
        <f t="shared" si="78"/>
        <v>0</v>
      </c>
      <c r="U270" s="173">
        <f t="shared" si="78"/>
        <v>0</v>
      </c>
      <c r="V270" s="173">
        <f t="shared" si="78"/>
        <v>0</v>
      </c>
      <c r="W270" s="173">
        <f t="shared" si="78"/>
        <v>0</v>
      </c>
      <c r="X270" s="173">
        <f t="shared" si="78"/>
        <v>0</v>
      </c>
      <c r="Y270" s="173">
        <f t="shared" si="78"/>
        <v>0</v>
      </c>
      <c r="Z270" s="173">
        <f t="shared" si="78"/>
        <v>0</v>
      </c>
      <c r="AA270" s="173">
        <f t="shared" si="78"/>
        <v>0</v>
      </c>
      <c r="AB270" s="173">
        <f t="shared" si="78"/>
        <v>0</v>
      </c>
      <c r="AC270" s="173">
        <f t="shared" si="78"/>
        <v>0</v>
      </c>
      <c r="AD270" s="173">
        <f t="shared" si="78"/>
        <v>0</v>
      </c>
      <c r="AE270" s="173">
        <f t="shared" si="78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79">IF(B238&lt;100,"",B238-520)</f>
        <v/>
      </c>
      <c r="C271" s="174" t="str">
        <f t="shared" si="79"/>
        <v/>
      </c>
      <c r="D271" s="174" t="str">
        <f t="shared" si="79"/>
        <v/>
      </c>
      <c r="E271" s="174" t="str">
        <f t="shared" si="79"/>
        <v/>
      </c>
      <c r="F271" s="174" t="str">
        <f t="shared" si="79"/>
        <v/>
      </c>
      <c r="G271" s="174" t="str">
        <f t="shared" si="79"/>
        <v/>
      </c>
      <c r="H271" s="174" t="str">
        <f t="shared" si="79"/>
        <v/>
      </c>
      <c r="I271" s="174" t="str">
        <f t="shared" si="79"/>
        <v/>
      </c>
      <c r="J271" s="174" t="str">
        <f t="shared" si="79"/>
        <v/>
      </c>
      <c r="K271" s="174" t="str">
        <f t="shared" si="79"/>
        <v/>
      </c>
      <c r="L271" s="174" t="str">
        <f t="shared" si="79"/>
        <v/>
      </c>
      <c r="M271" s="174" t="str">
        <f t="shared" si="79"/>
        <v/>
      </c>
      <c r="N271" s="174" t="str">
        <f t="shared" si="79"/>
        <v/>
      </c>
      <c r="O271" s="174" t="str">
        <f t="shared" si="79"/>
        <v/>
      </c>
      <c r="P271" s="174" t="str">
        <f t="shared" si="79"/>
        <v/>
      </c>
      <c r="Q271" s="174" t="str">
        <f t="shared" si="79"/>
        <v/>
      </c>
      <c r="R271" s="174" t="str">
        <f t="shared" si="79"/>
        <v/>
      </c>
      <c r="S271" s="174" t="str">
        <f t="shared" si="79"/>
        <v/>
      </c>
      <c r="T271" s="174" t="str">
        <f t="shared" si="79"/>
        <v/>
      </c>
      <c r="U271" s="174" t="str">
        <f t="shared" si="79"/>
        <v/>
      </c>
      <c r="V271" s="174" t="str">
        <f t="shared" si="79"/>
        <v/>
      </c>
      <c r="W271" s="174" t="str">
        <f t="shared" si="79"/>
        <v/>
      </c>
      <c r="X271" s="174" t="str">
        <f t="shared" si="79"/>
        <v/>
      </c>
      <c r="Y271" s="174" t="str">
        <f t="shared" si="79"/>
        <v/>
      </c>
      <c r="Z271" s="174" t="str">
        <f t="shared" si="79"/>
        <v/>
      </c>
      <c r="AA271" s="174" t="str">
        <f t="shared" si="79"/>
        <v/>
      </c>
      <c r="AB271" s="174" t="str">
        <f t="shared" si="79"/>
        <v/>
      </c>
      <c r="AC271" s="174" t="str">
        <f t="shared" si="79"/>
        <v/>
      </c>
      <c r="AD271" s="174" t="str">
        <f t="shared" si="79"/>
        <v/>
      </c>
      <c r="AE271" s="174" t="str">
        <f t="shared" si="79"/>
        <v/>
      </c>
      <c r="AF271" s="174" t="str">
        <f t="shared" si="79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80">IF(B239&lt;100,"",B239-620)</f>
        <v/>
      </c>
      <c r="C272" s="174" t="str">
        <f t="shared" si="80"/>
        <v/>
      </c>
      <c r="D272" s="174" t="str">
        <f t="shared" si="80"/>
        <v/>
      </c>
      <c r="E272" s="174" t="str">
        <f t="shared" si="80"/>
        <v/>
      </c>
      <c r="F272" s="174" t="str">
        <f t="shared" si="80"/>
        <v/>
      </c>
      <c r="G272" s="174" t="str">
        <f t="shared" si="80"/>
        <v/>
      </c>
      <c r="H272" s="174" t="str">
        <f t="shared" si="80"/>
        <v/>
      </c>
      <c r="I272" s="174" t="str">
        <f t="shared" si="80"/>
        <v/>
      </c>
      <c r="J272" s="174" t="str">
        <f t="shared" si="80"/>
        <v/>
      </c>
      <c r="K272" s="174" t="str">
        <f t="shared" si="80"/>
        <v/>
      </c>
      <c r="L272" s="174" t="str">
        <f t="shared" si="80"/>
        <v/>
      </c>
      <c r="M272" s="174" t="str">
        <f t="shared" si="80"/>
        <v/>
      </c>
      <c r="N272" s="174" t="str">
        <f t="shared" si="80"/>
        <v/>
      </c>
      <c r="O272" s="174" t="str">
        <f t="shared" si="80"/>
        <v/>
      </c>
      <c r="P272" s="174" t="str">
        <f t="shared" si="80"/>
        <v/>
      </c>
      <c r="Q272" s="174" t="str">
        <f t="shared" si="80"/>
        <v/>
      </c>
      <c r="R272" s="174" t="str">
        <f t="shared" si="80"/>
        <v/>
      </c>
      <c r="S272" s="174" t="str">
        <f t="shared" si="80"/>
        <v/>
      </c>
      <c r="T272" s="174" t="str">
        <f t="shared" si="80"/>
        <v/>
      </c>
      <c r="U272" s="174" t="str">
        <f t="shared" si="80"/>
        <v/>
      </c>
      <c r="V272" s="174" t="str">
        <f t="shared" si="80"/>
        <v/>
      </c>
      <c r="W272" s="174" t="str">
        <f t="shared" si="80"/>
        <v/>
      </c>
      <c r="X272" s="174" t="str">
        <f t="shared" si="80"/>
        <v/>
      </c>
      <c r="Y272" s="174" t="str">
        <f t="shared" si="80"/>
        <v/>
      </c>
      <c r="Z272" s="174" t="str">
        <f t="shared" si="80"/>
        <v/>
      </c>
      <c r="AA272" s="174" t="str">
        <f t="shared" si="80"/>
        <v/>
      </c>
      <c r="AB272" s="174" t="str">
        <f t="shared" si="80"/>
        <v/>
      </c>
      <c r="AC272" s="174" t="str">
        <f t="shared" si="80"/>
        <v/>
      </c>
      <c r="AD272" s="174" t="str">
        <f t="shared" si="80"/>
        <v/>
      </c>
      <c r="AE272" s="174" t="str">
        <f t="shared" si="80"/>
        <v/>
      </c>
      <c r="AF272" s="174" t="str">
        <f t="shared" si="80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81">IF(B240&lt;100,"",B240-330)</f>
        <v/>
      </c>
      <c r="C273" s="174" t="str">
        <f t="shared" si="81"/>
        <v/>
      </c>
      <c r="D273" s="174" t="str">
        <f t="shared" si="81"/>
        <v/>
      </c>
      <c r="E273" s="174" t="str">
        <f t="shared" si="81"/>
        <v/>
      </c>
      <c r="F273" s="174" t="str">
        <f t="shared" si="81"/>
        <v/>
      </c>
      <c r="G273" s="174" t="str">
        <f t="shared" si="81"/>
        <v/>
      </c>
      <c r="H273" s="174" t="str">
        <f t="shared" si="81"/>
        <v/>
      </c>
      <c r="I273" s="174" t="str">
        <f t="shared" si="81"/>
        <v/>
      </c>
      <c r="J273" s="174" t="str">
        <f t="shared" si="81"/>
        <v/>
      </c>
      <c r="K273" s="174" t="str">
        <f t="shared" si="81"/>
        <v/>
      </c>
      <c r="L273" s="174" t="str">
        <f t="shared" si="81"/>
        <v/>
      </c>
      <c r="M273" s="174" t="str">
        <f t="shared" si="81"/>
        <v/>
      </c>
      <c r="N273" s="174" t="str">
        <f t="shared" si="81"/>
        <v/>
      </c>
      <c r="O273" s="174" t="str">
        <f t="shared" si="81"/>
        <v/>
      </c>
      <c r="P273" s="174" t="str">
        <f t="shared" si="81"/>
        <v/>
      </c>
      <c r="Q273" s="174" t="str">
        <f t="shared" si="81"/>
        <v/>
      </c>
      <c r="R273" s="174" t="str">
        <f t="shared" si="81"/>
        <v/>
      </c>
      <c r="S273" s="174" t="str">
        <f t="shared" si="81"/>
        <v/>
      </c>
      <c r="T273" s="174" t="str">
        <f t="shared" si="81"/>
        <v/>
      </c>
      <c r="U273" s="174" t="str">
        <f t="shared" si="81"/>
        <v/>
      </c>
      <c r="V273" s="174" t="str">
        <f t="shared" si="81"/>
        <v/>
      </c>
      <c r="W273" s="174" t="str">
        <f t="shared" si="81"/>
        <v/>
      </c>
      <c r="X273" s="174" t="str">
        <f t="shared" si="81"/>
        <v/>
      </c>
      <c r="Y273" s="174" t="str">
        <f t="shared" si="81"/>
        <v/>
      </c>
      <c r="Z273" s="174" t="str">
        <f t="shared" si="81"/>
        <v/>
      </c>
      <c r="AA273" s="174" t="str">
        <f t="shared" si="81"/>
        <v/>
      </c>
      <c r="AB273" s="174" t="str">
        <f t="shared" si="81"/>
        <v/>
      </c>
      <c r="AC273" s="174" t="str">
        <f t="shared" si="81"/>
        <v/>
      </c>
      <c r="AD273" s="174" t="str">
        <f t="shared" si="81"/>
        <v/>
      </c>
      <c r="AE273" s="174" t="str">
        <f t="shared" si="81"/>
        <v/>
      </c>
      <c r="AF273" s="174" t="str">
        <f t="shared" si="81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82">IF(B241&lt;100,"",B241-1500)</f>
        <v/>
      </c>
      <c r="C274" s="174" t="str">
        <f t="shared" si="82"/>
        <v/>
      </c>
      <c r="D274" s="174" t="str">
        <f t="shared" si="82"/>
        <v/>
      </c>
      <c r="E274" s="174" t="str">
        <f t="shared" si="82"/>
        <v/>
      </c>
      <c r="F274" s="174" t="str">
        <f t="shared" si="82"/>
        <v/>
      </c>
      <c r="G274" s="174" t="str">
        <f t="shared" si="82"/>
        <v/>
      </c>
      <c r="H274" s="174" t="str">
        <f t="shared" si="82"/>
        <v/>
      </c>
      <c r="I274" s="174" t="str">
        <f t="shared" si="82"/>
        <v/>
      </c>
      <c r="J274" s="174" t="str">
        <f t="shared" si="82"/>
        <v/>
      </c>
      <c r="K274" s="174" t="str">
        <f t="shared" si="82"/>
        <v/>
      </c>
      <c r="L274" s="174" t="str">
        <f t="shared" si="82"/>
        <v/>
      </c>
      <c r="M274" s="174" t="str">
        <f t="shared" si="82"/>
        <v/>
      </c>
      <c r="N274" s="174" t="str">
        <f t="shared" si="82"/>
        <v/>
      </c>
      <c r="O274" s="174" t="str">
        <f t="shared" si="82"/>
        <v/>
      </c>
      <c r="P274" s="174" t="str">
        <f t="shared" si="82"/>
        <v/>
      </c>
      <c r="Q274" s="174" t="str">
        <f t="shared" si="82"/>
        <v/>
      </c>
      <c r="R274" s="174" t="str">
        <f t="shared" si="82"/>
        <v/>
      </c>
      <c r="S274" s="174" t="str">
        <f t="shared" si="82"/>
        <v/>
      </c>
      <c r="T274" s="174" t="str">
        <f t="shared" si="82"/>
        <v/>
      </c>
      <c r="U274" s="174" t="str">
        <f t="shared" si="82"/>
        <v/>
      </c>
      <c r="V274" s="174" t="str">
        <f t="shared" si="82"/>
        <v/>
      </c>
      <c r="W274" s="174" t="str">
        <f t="shared" si="82"/>
        <v/>
      </c>
      <c r="X274" s="174" t="str">
        <f t="shared" si="82"/>
        <v/>
      </c>
      <c r="Y274" s="174" t="str">
        <f t="shared" si="82"/>
        <v/>
      </c>
      <c r="Z274" s="174" t="str">
        <f t="shared" si="82"/>
        <v/>
      </c>
      <c r="AA274" s="174" t="str">
        <f t="shared" si="82"/>
        <v/>
      </c>
      <c r="AB274" s="174" t="str">
        <f t="shared" si="82"/>
        <v/>
      </c>
      <c r="AC274" s="174" t="str">
        <f t="shared" si="82"/>
        <v/>
      </c>
      <c r="AD274" s="174" t="str">
        <f t="shared" si="82"/>
        <v/>
      </c>
      <c r="AE274" s="174" t="str">
        <f t="shared" si="82"/>
        <v/>
      </c>
      <c r="AF274" s="174" t="str">
        <f t="shared" si="82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1263" priority="64">
      <formula>$AH11=0</formula>
    </cfRule>
  </conditionalFormatting>
  <conditionalFormatting sqref="B8 M8 S8 AB8">
    <cfRule type="expression" dxfId="1262" priority="115">
      <formula>AND(C$9&gt;=14/24,C$9&lt;20/24)</formula>
    </cfRule>
    <cfRule type="expression" dxfId="1261" priority="116">
      <formula>AND(C$9&gt;=8/24,C$9&lt;14/24)</formula>
    </cfRule>
    <cfRule type="expression" dxfId="1260" priority="117">
      <formula>C$9&lt;8/24</formula>
    </cfRule>
  </conditionalFormatting>
  <conditionalFormatting sqref="B54:C54">
    <cfRule type="expression" dxfId="1259" priority="38">
      <formula>B$9&gt;=20/24</formula>
    </cfRule>
    <cfRule type="expression" dxfId="1258" priority="39">
      <formula>AND(B$9&gt;=14/24,B$9&lt;20/24)</formula>
    </cfRule>
    <cfRule type="expression" dxfId="1257" priority="40">
      <formula>AND(B$9&gt;=8/24,B$9&lt;14/24)</formula>
    </cfRule>
    <cfRule type="expression" dxfId="1256" priority="41">
      <formula>B$9&lt;8/24</formula>
    </cfRule>
  </conditionalFormatting>
  <conditionalFormatting sqref="B54:C66 D55:D66 E61:K66 L62:X66">
    <cfRule type="expression" dxfId="1255" priority="33">
      <formula>B54&gt;$AG54</formula>
    </cfRule>
  </conditionalFormatting>
  <conditionalFormatting sqref="B55:D59">
    <cfRule type="expression" dxfId="1254" priority="60">
      <formula>B$9&gt;=20/24</formula>
    </cfRule>
    <cfRule type="expression" dxfId="1253" priority="61">
      <formula>AND(B$9&gt;=14/24,B$9&lt;20/24)</formula>
    </cfRule>
    <cfRule type="expression" dxfId="1252" priority="62">
      <formula>AND(B$9&gt;=8/24,B$9&lt;14/24)</formula>
    </cfRule>
    <cfRule type="expression" dxfId="1251" priority="63">
      <formula>B$9&lt;8/24</formula>
    </cfRule>
  </conditionalFormatting>
  <conditionalFormatting sqref="B60:X60">
    <cfRule type="expression" dxfId="1250" priority="51">
      <formula>B$9&gt;=20/24</formula>
    </cfRule>
    <cfRule type="expression" dxfId="1249" priority="52">
      <formula>AND(B$9&gt;=14/24,B$9&lt;20/24)</formula>
    </cfRule>
    <cfRule type="expression" dxfId="1248" priority="53">
      <formula>AND(B$9&gt;=8/24,B$9&lt;14/24)</formula>
    </cfRule>
    <cfRule type="expression" dxfId="1247" priority="54">
      <formula>B$9&lt;8/24</formula>
    </cfRule>
  </conditionalFormatting>
  <conditionalFormatting sqref="B61:AF66">
    <cfRule type="expression" dxfId="1246" priority="34">
      <formula>B$9&gt;=20/24</formula>
    </cfRule>
    <cfRule type="expression" dxfId="1245" priority="35">
      <formula>AND(B$9&gt;=14/24,B$9&lt;20/24)</formula>
    </cfRule>
    <cfRule type="expression" dxfId="1244" priority="36">
      <formula>AND(B$9&gt;=8/24,B$9&lt;14/24)</formula>
    </cfRule>
    <cfRule type="expression" dxfId="1243" priority="37">
      <formula>B$9&lt;8/24</formula>
    </cfRule>
  </conditionalFormatting>
  <conditionalFormatting sqref="B9:AF45">
    <cfRule type="expression" dxfId="1242" priority="23">
      <formula>B$9&gt;=20/24</formula>
    </cfRule>
    <cfRule type="expression" dxfId="1241" priority="24">
      <formula>AND(B$9&gt;=14/24,B$9&lt;20/24)</formula>
    </cfRule>
    <cfRule type="expression" dxfId="1240" priority="25">
      <formula>AND(B$9&gt;=8/24,B$9&lt;14/24)</formula>
    </cfRule>
    <cfRule type="expression" dxfId="1239" priority="26">
      <formula>B$9&lt;8/24</formula>
    </cfRule>
  </conditionalFormatting>
  <conditionalFormatting sqref="B11:AF46">
    <cfRule type="expression" dxfId="1238" priority="22">
      <formula>B11&gt;$AG11</formula>
    </cfRule>
  </conditionalFormatting>
  <conditionalFormatting sqref="B46:AF46">
    <cfRule type="expression" dxfId="1237" priority="18">
      <formula>B$9&gt;=20/24</formula>
    </cfRule>
    <cfRule type="expression" dxfId="1236" priority="19">
      <formula>AND(B$9&gt;=14/24,B$9&lt;20/24)</formula>
    </cfRule>
    <cfRule type="expression" dxfId="1235" priority="20">
      <formula>AND(B$9&gt;=8/24,B$9&lt;14/24)</formula>
    </cfRule>
    <cfRule type="expression" dxfId="1234" priority="21">
      <formula>B$9&lt;8/24</formula>
    </cfRule>
  </conditionalFormatting>
  <conditionalFormatting sqref="B47:AF47">
    <cfRule type="expression" dxfId="1233" priority="32">
      <formula>B47&gt;$AG47</formula>
    </cfRule>
  </conditionalFormatting>
  <conditionalFormatting sqref="B47:AF49">
    <cfRule type="expression" dxfId="1232" priority="28">
      <formula>B$9&gt;=20/24</formula>
    </cfRule>
    <cfRule type="expression" dxfId="1231" priority="29">
      <formula>AND(B$9&gt;=14/24,B$9&lt;20/24)</formula>
    </cfRule>
    <cfRule type="expression" dxfId="1230" priority="30">
      <formula>AND(B$9&gt;=8/24,B$9&lt;14/24)</formula>
    </cfRule>
    <cfRule type="expression" dxfId="1229" priority="31">
      <formula>B$9&lt;8/24</formula>
    </cfRule>
  </conditionalFormatting>
  <conditionalFormatting sqref="B48:AF53">
    <cfRule type="expression" dxfId="1228" priority="27">
      <formula>B48&gt;$AG48</formula>
    </cfRule>
  </conditionalFormatting>
  <conditionalFormatting sqref="B51:AF53">
    <cfRule type="expression" dxfId="1227" priority="47">
      <formula>B$9&gt;=20/24</formula>
    </cfRule>
    <cfRule type="expression" dxfId="1226" priority="48">
      <formula>AND(B$9&gt;=14/24,B$9&lt;20/24)</formula>
    </cfRule>
    <cfRule type="expression" dxfId="1225" priority="49">
      <formula>AND(B$9&gt;=8/24,B$9&lt;14/24)</formula>
    </cfRule>
    <cfRule type="expression" dxfId="1224" priority="50">
      <formula>B$9&lt;8/24</formula>
    </cfRule>
  </conditionalFormatting>
  <conditionalFormatting sqref="B69:AF71">
    <cfRule type="expression" dxfId="1223" priority="55">
      <formula>B69&gt;$AG69</formula>
    </cfRule>
    <cfRule type="expression" dxfId="1222" priority="56">
      <formula>B$9&gt;=20/24</formula>
    </cfRule>
    <cfRule type="expression" dxfId="1221" priority="57">
      <formula>AND(B$9&gt;=14/24,B$9&lt;20/24)</formula>
    </cfRule>
    <cfRule type="expression" dxfId="1220" priority="58">
      <formula>AND(B$9&gt;=8/24,B$9&lt;14/24)</formula>
    </cfRule>
    <cfRule type="expression" dxfId="1219" priority="59">
      <formula>B$9&lt;8/24</formula>
    </cfRule>
  </conditionalFormatting>
  <conditionalFormatting sqref="B73:AF91">
    <cfRule type="expression" dxfId="1218" priority="1">
      <formula>B$9&gt;=20/24</formula>
    </cfRule>
    <cfRule type="expression" dxfId="1217" priority="2">
      <formula>AND(B$9&gt;=14/24,B$9&lt;20/24)</formula>
    </cfRule>
    <cfRule type="expression" dxfId="1216" priority="3">
      <formula>AND(B$9&gt;=8/24,B$9&lt;14/24)</formula>
    </cfRule>
    <cfRule type="expression" dxfId="1215" priority="4">
      <formula>B$9&lt;8/24</formula>
    </cfRule>
  </conditionalFormatting>
  <conditionalFormatting sqref="B111:AF120">
    <cfRule type="expression" dxfId="1214" priority="14">
      <formula>B$9&gt;=20/24</formula>
    </cfRule>
    <cfRule type="expression" dxfId="1213" priority="15">
      <formula>AND(B$9&gt;=14/24,B$9&lt;20/24)</formula>
    </cfRule>
    <cfRule type="expression" dxfId="1212" priority="16">
      <formula>AND(B$9&gt;=8/24,B$9&lt;14/24)</formula>
    </cfRule>
    <cfRule type="expression" dxfId="1211" priority="17">
      <formula>B$9&lt;8/24</formula>
    </cfRule>
  </conditionalFormatting>
  <conditionalFormatting sqref="B227:AF227 D229:AF230 B229:B235 D231:H231 J231:AF231 D232:AF235 U248:AF248">
    <cfRule type="expression" dxfId="1210" priority="108">
      <formula>B$9&gt;=20/24</formula>
    </cfRule>
    <cfRule type="expression" dxfId="1209" priority="109">
      <formula>AND(B$9&gt;=14/24,B$9&lt;20/24)</formula>
    </cfRule>
    <cfRule type="expression" dxfId="1208" priority="110">
      <formula>AND(B$9&gt;=8/24,B$9&lt;14/24)</formula>
    </cfRule>
    <cfRule type="expression" dxfId="1207" priority="111">
      <formula>B$9&lt;8/24</formula>
    </cfRule>
  </conditionalFormatting>
  <conditionalFormatting sqref="B67:AG68 B72:AG72">
    <cfRule type="expression" dxfId="1206" priority="42">
      <formula>B67&gt;$AG67</formula>
    </cfRule>
  </conditionalFormatting>
  <conditionalFormatting sqref="B72:AG72 B93:AF109">
    <cfRule type="expression" dxfId="1205" priority="43">
      <formula>B$9&gt;=20/24</formula>
    </cfRule>
    <cfRule type="expression" dxfId="1204" priority="44">
      <formula>AND(B$9&gt;=14/24,B$9&lt;20/24)</formula>
    </cfRule>
    <cfRule type="expression" dxfId="1203" priority="45">
      <formula>AND(B$9&gt;=8/24,B$9&lt;14/24)</formula>
    </cfRule>
    <cfRule type="expression" dxfId="1202" priority="46">
      <formula>B$9&lt;8/24</formula>
    </cfRule>
  </conditionalFormatting>
  <conditionalFormatting sqref="E55:AF66">
    <cfRule type="expression" dxfId="1201" priority="5">
      <formula>E55&gt;$AG55</formula>
    </cfRule>
  </conditionalFormatting>
  <conditionalFormatting sqref="D54:AG54">
    <cfRule type="expression" dxfId="1200" priority="76">
      <formula>D54&gt;$AG54</formula>
    </cfRule>
    <cfRule type="expression" dxfId="1199" priority="77">
      <formula>D$9&gt;=20/24</formula>
    </cfRule>
    <cfRule type="expression" dxfId="1198" priority="78">
      <formula>AND(D$9&gt;=14/24,D$9&lt;20/24)</formula>
    </cfRule>
    <cfRule type="expression" dxfId="1197" priority="79">
      <formula>AND(D$9&gt;=8/24,D$9&lt;14/24)</formula>
    </cfRule>
    <cfRule type="expression" dxfId="1196" priority="80">
      <formula>D$9&lt;8/24</formula>
    </cfRule>
  </conditionalFormatting>
  <conditionalFormatting sqref="E55:X57">
    <cfRule type="expression" dxfId="1195" priority="89">
      <formula>E$9&gt;=20/24</formula>
    </cfRule>
    <cfRule type="expression" dxfId="1194" priority="90">
      <formula>AND(E$9&gt;=14/24,E$9&lt;20/24)</formula>
    </cfRule>
    <cfRule type="expression" dxfId="1193" priority="91">
      <formula>AND(E$9&gt;=8/24,E$9&lt;14/24)</formula>
    </cfRule>
    <cfRule type="expression" dxfId="1192" priority="92">
      <formula>E$9&lt;8/24</formula>
    </cfRule>
  </conditionalFormatting>
  <conditionalFormatting sqref="N55:X59">
    <cfRule type="expression" dxfId="1191" priority="93">
      <formula>N$9&gt;=20/24</formula>
    </cfRule>
    <cfRule type="expression" dxfId="1190" priority="94">
      <formula>AND(N$9&gt;=14/24,N$9&lt;20/24)</formula>
    </cfRule>
    <cfRule type="expression" dxfId="1189" priority="95">
      <formula>AND(N$9&gt;=8/24,N$9&lt;14/24)</formula>
    </cfRule>
    <cfRule type="expression" dxfId="1188" priority="96">
      <formula>N$9&lt;8/24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187" priority="114">
      <formula>C$9&gt;=20/24</formula>
    </cfRule>
  </conditionalFormatting>
  <conditionalFormatting sqref="S8">
    <cfRule type="expression" dxfId="1186" priority="101">
      <formula>U$9&gt;=20/24</formula>
    </cfRule>
    <cfRule type="expression" dxfId="1185" priority="102">
      <formula>AND(U$9&gt;=14/24,U$9&lt;20/24)</formula>
    </cfRule>
    <cfRule type="expression" dxfId="1184" priority="103">
      <formula>AND(U$9&gt;=8/24,U$9&lt;14/24)</formula>
    </cfRule>
    <cfRule type="expression" dxfId="1183" priority="104">
      <formula>U$9&lt;8/24</formula>
    </cfRule>
  </conditionalFormatting>
  <conditionalFormatting sqref="Y55:AF60">
    <cfRule type="expression" dxfId="1182" priority="10">
      <formula>Y$9&gt;=20/24</formula>
    </cfRule>
    <cfRule type="expression" dxfId="1181" priority="11">
      <formula>AND(Y$9&gt;=14/24,Y$9&lt;20/24)</formula>
    </cfRule>
    <cfRule type="expression" dxfId="1180" priority="12">
      <formula>AND(Y$9&gt;=8/24,Y$9&lt;14/24)</formula>
    </cfRule>
    <cfRule type="expression" dxfId="1179" priority="13">
      <formula>Y$9&lt;8/24</formula>
    </cfRule>
  </conditionalFormatting>
  <conditionalFormatting sqref="T248">
    <cfRule type="expression" dxfId="1178" priority="126">
      <formula>AX$9&gt;=20/24</formula>
    </cfRule>
    <cfRule type="expression" dxfId="1177" priority="127">
      <formula>AND(AX$9&gt;=14/24,AX$9&lt;20/24)</formula>
    </cfRule>
    <cfRule type="expression" dxfId="1176" priority="128">
      <formula>AND(AX$9&gt;=8/24,AX$9&lt;14/24)</formula>
    </cfRule>
    <cfRule type="expression" dxfId="1175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174" priority="97">
      <formula>AD$9&gt;=20/24</formula>
    </cfRule>
    <cfRule type="expression" dxfId="1173" priority="98">
      <formula>AND(AD$9&gt;=14/24,AD$9&lt;20/24)</formula>
    </cfRule>
    <cfRule type="expression" dxfId="1172" priority="99">
      <formula>AND(AD$9&gt;=8/24,AD$9&lt;14/24)</formula>
    </cfRule>
    <cfRule type="expression" dxfId="1171" priority="100">
      <formula>AD$9&lt;8/24</formula>
    </cfRule>
  </conditionalFormatting>
  <conditionalFormatting sqref="AE61:AF66">
    <cfRule type="expression" dxfId="1170" priority="6">
      <formula>AE$9&gt;=20/24</formula>
    </cfRule>
    <cfRule type="expression" dxfId="1169" priority="7">
      <formula>AND(AE$9&gt;=14/24,AE$9&lt;20/24)</formula>
    </cfRule>
    <cfRule type="expression" dxfId="1168" priority="8">
      <formula>AND(AE$9&gt;=8/24,AE$9&lt;14/24)</formula>
    </cfRule>
    <cfRule type="expression" dxfId="1167" priority="9">
      <formula>AE$9&lt;8/24</formula>
    </cfRule>
  </conditionalFormatting>
  <conditionalFormatting sqref="AG50">
    <cfRule type="expression" dxfId="1166" priority="84">
      <formula>AG50&gt;$AG50</formula>
    </cfRule>
  </conditionalFormatting>
  <conditionalFormatting sqref="AG89">
    <cfRule type="expression" dxfId="1165" priority="85">
      <formula>AG$9&gt;=20/24</formula>
    </cfRule>
    <cfRule type="expression" dxfId="1164" priority="86">
      <formula>AND(AG$9&gt;=14/24,AG$9&lt;20/24)</formula>
    </cfRule>
    <cfRule type="expression" dxfId="1163" priority="87">
      <formula>AND(AG$9&gt;=8/24,AG$9&lt;14/24)</formula>
    </cfRule>
    <cfRule type="expression" dxfId="1162" priority="88">
      <formula>AG$9&lt;8/24</formula>
    </cfRule>
  </conditionalFormatting>
  <conditionalFormatting sqref="AG248">
    <cfRule type="expression" dxfId="1161" priority="118">
      <formula>B$9&gt;=20/24</formula>
    </cfRule>
    <cfRule type="expression" dxfId="1160" priority="119">
      <formula>AND(B$9&gt;=14/24,B$9&lt;20/24)</formula>
    </cfRule>
    <cfRule type="expression" dxfId="1159" priority="120">
      <formula>AND(B$9&gt;=8/24,B$9&lt;14/24)</formula>
    </cfRule>
    <cfRule type="expression" dxfId="1158" priority="121">
      <formula>B$9&lt;8/24</formula>
    </cfRule>
  </conditionalFormatting>
  <conditionalFormatting sqref="AH248:AX248">
    <cfRule type="expression" dxfId="1157" priority="122">
      <formula>AG$9&gt;=20/24</formula>
    </cfRule>
    <cfRule type="expression" dxfId="1156" priority="123">
      <formula>AND(AG$9&gt;=14/24,AG$9&lt;20/24)</formula>
    </cfRule>
    <cfRule type="expression" dxfId="1155" priority="124">
      <formula>AND(AG$9&gt;=8/24,AG$9&lt;14/24)</formula>
    </cfRule>
    <cfRule type="expression" dxfId="1154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153" priority="131">
      <formula>AJ$9&gt;=20/24</formula>
    </cfRule>
    <cfRule type="expression" dxfId="1152" priority="132">
      <formula>AND(AJ$9&gt;=14/24,AJ$9&lt;20/24)</formula>
    </cfRule>
    <cfRule type="expression" dxfId="1151" priority="133">
      <formula>AND(AJ$9&gt;=8/24,AJ$9&lt;14/24)</formula>
    </cfRule>
    <cfRule type="expression" dxfId="1150" priority="134">
      <formula>AJ$9&lt;8/24</formula>
    </cfRule>
  </conditionalFormatting>
  <conditionalFormatting sqref="AL80:AN80 AL86:AN86">
    <cfRule type="expression" dxfId="1149" priority="72">
      <formula>AL$9&gt;=20/24</formula>
    </cfRule>
    <cfRule type="expression" dxfId="1148" priority="73">
      <formula>AND(AL$9&gt;=14/24,AL$9&lt;20/24)</formula>
    </cfRule>
    <cfRule type="expression" dxfId="1147" priority="74">
      <formula>AND(AL$9&gt;=8/24,AL$9&lt;14/24)</formula>
    </cfRule>
    <cfRule type="expression" dxfId="1146" priority="75">
      <formula>AL$9&lt;8/24</formula>
    </cfRule>
  </conditionalFormatting>
  <conditionalFormatting sqref="AN81:AN84">
    <cfRule type="expression" dxfId="1145" priority="68">
      <formula>AN$9&gt;=20/24</formula>
    </cfRule>
    <cfRule type="expression" dxfId="1144" priority="69">
      <formula>AND(AN$9&gt;=14/24,AN$9&lt;20/24)</formula>
    </cfRule>
    <cfRule type="expression" dxfId="1143" priority="70">
      <formula>AND(AN$9&gt;=8/24,AN$9&lt;14/24)</formula>
    </cfRule>
    <cfRule type="expression" dxfId="1142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093CC-A6AF-43C3-BF7E-6395D077355F}">
  <sheetPr codeName="Sheet47"/>
  <dimension ref="A1:CJ281"/>
  <sheetViews>
    <sheetView workbookViewId="0">
      <pane xSplit="1" ySplit="10" topLeftCell="D50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2080/06/23</v>
      </c>
      <c r="C4" s="201"/>
      <c r="D4" s="201"/>
      <c r="E4" s="202" t="str">
        <f ca="1">"2080/"&amp;"06/"&amp;INT(MID(CELL("filename",G6),FIND("]",CELL("filename",G6))+1,200))</f>
        <v>2080/06/23</v>
      </c>
      <c r="F4" s="202"/>
      <c r="G4" s="202"/>
      <c r="H4" s="202" t="str">
        <f ca="1">TEXT(E4,"dddd")</f>
        <v>Sunday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6.8</v>
      </c>
      <c r="Y5" s="30">
        <f t="shared" si="0"/>
        <v>4.7</v>
      </c>
      <c r="Z5" s="30">
        <f t="shared" si="0"/>
        <v>0</v>
      </c>
      <c r="AA5" s="30">
        <f t="shared" si="0"/>
        <v>10</v>
      </c>
      <c r="AB5" s="30">
        <f t="shared" si="0"/>
        <v>7</v>
      </c>
      <c r="AC5" s="30">
        <f t="shared" si="0"/>
        <v>7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2171MW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Load=2082</v>
      </c>
      <c r="B7" s="35">
        <f t="shared" ref="B7:AF7" si="1">B91</f>
        <v>2155.94</v>
      </c>
      <c r="C7" s="35">
        <f t="shared" si="1"/>
        <v>2159.8399999999997</v>
      </c>
      <c r="D7" s="35">
        <f t="shared" si="1"/>
        <v>2134.8399999999997</v>
      </c>
      <c r="E7" s="35">
        <f t="shared" si="1"/>
        <v>2118.8399999999997</v>
      </c>
      <c r="F7" s="35">
        <f t="shared" si="1"/>
        <v>2110.7399999999998</v>
      </c>
      <c r="G7" s="35">
        <f t="shared" si="1"/>
        <v>2092.34</v>
      </c>
      <c r="H7" s="35">
        <f t="shared" si="1"/>
        <v>2116.94</v>
      </c>
      <c r="I7" s="35">
        <f t="shared" si="1"/>
        <v>2082.34</v>
      </c>
      <c r="J7" s="35">
        <f t="shared" si="1"/>
        <v>2149.94</v>
      </c>
      <c r="K7" s="35">
        <f t="shared" si="1"/>
        <v>2164.4500000000003</v>
      </c>
      <c r="L7" s="35">
        <f t="shared" si="1"/>
        <v>2107.4500000000003</v>
      </c>
      <c r="M7" s="35">
        <f t="shared" si="1"/>
        <v>2111.04</v>
      </c>
      <c r="N7" s="35">
        <f>N91</f>
        <v>2171.34</v>
      </c>
      <c r="O7" s="35">
        <f t="shared" si="1"/>
        <v>2170.04</v>
      </c>
      <c r="P7" s="35">
        <f t="shared" si="1"/>
        <v>2128.6400000000003</v>
      </c>
      <c r="Q7" s="35">
        <f t="shared" si="1"/>
        <v>2143.7399999999998</v>
      </c>
      <c r="R7" s="35">
        <f t="shared" si="1"/>
        <v>2144.34</v>
      </c>
      <c r="S7" s="35">
        <f t="shared" si="1"/>
        <v>2164.7399999999998</v>
      </c>
      <c r="T7" s="35">
        <f t="shared" si="1"/>
        <v>2144.94</v>
      </c>
      <c r="U7" s="35">
        <f t="shared" si="1"/>
        <v>2129.34</v>
      </c>
      <c r="V7" s="35">
        <f t="shared" si="1"/>
        <v>2111.5400000000004</v>
      </c>
      <c r="W7" s="35">
        <f t="shared" si="1"/>
        <v>2170.94</v>
      </c>
      <c r="X7" s="35">
        <f t="shared" si="1"/>
        <v>2232.7399999999998</v>
      </c>
      <c r="Y7" s="35">
        <f t="shared" si="1"/>
        <v>2267.84</v>
      </c>
      <c r="Z7" s="35">
        <f t="shared" si="1"/>
        <v>2220.64</v>
      </c>
      <c r="AA7" s="35">
        <f t="shared" si="1"/>
        <v>2218.2399999999998</v>
      </c>
      <c r="AB7" s="35">
        <f t="shared" si="1"/>
        <v>2194.44</v>
      </c>
      <c r="AC7" s="35">
        <f t="shared" si="1"/>
        <v>2192.8399999999997</v>
      </c>
      <c r="AD7" s="35">
        <f t="shared" si="1"/>
        <v>2161.54</v>
      </c>
      <c r="AE7" s="35">
        <f t="shared" si="1"/>
        <v>2114.54</v>
      </c>
      <c r="AF7" s="35">
        <f t="shared" si="1"/>
        <v>2111.54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90.4</v>
      </c>
      <c r="C11" s="45">
        <v>90.4</v>
      </c>
      <c r="D11" s="45">
        <v>90.4</v>
      </c>
      <c r="E11" s="45">
        <v>90.4</v>
      </c>
      <c r="F11" s="45">
        <v>90.4</v>
      </c>
      <c r="G11" s="45">
        <v>90.4</v>
      </c>
      <c r="H11" s="45">
        <v>90.4</v>
      </c>
      <c r="I11" s="45">
        <v>0</v>
      </c>
      <c r="J11" s="45">
        <v>56</v>
      </c>
      <c r="K11" s="45">
        <v>57</v>
      </c>
      <c r="L11" s="45">
        <v>0</v>
      </c>
      <c r="M11" s="45">
        <v>0</v>
      </c>
      <c r="N11" s="45">
        <v>90.4</v>
      </c>
      <c r="O11" s="45">
        <v>90.4</v>
      </c>
      <c r="P11" s="45">
        <v>90.4</v>
      </c>
      <c r="Q11" s="45">
        <v>90.4</v>
      </c>
      <c r="R11" s="45">
        <v>90.2</v>
      </c>
      <c r="S11" s="45">
        <v>90.2</v>
      </c>
      <c r="T11" s="45">
        <v>90.2</v>
      </c>
      <c r="U11" s="45">
        <v>90.2</v>
      </c>
      <c r="V11" s="45">
        <v>90.2</v>
      </c>
      <c r="W11" s="45">
        <v>90.2</v>
      </c>
      <c r="X11" s="45">
        <v>90.2</v>
      </c>
      <c r="Y11" s="45">
        <v>90.2</v>
      </c>
      <c r="Z11" s="45">
        <v>90.2</v>
      </c>
      <c r="AA11" s="45">
        <v>90.2</v>
      </c>
      <c r="AB11" s="45">
        <v>90.2</v>
      </c>
      <c r="AC11" s="45">
        <v>90.2</v>
      </c>
      <c r="AD11" s="45">
        <v>90.2</v>
      </c>
      <c r="AE11" s="45">
        <v>90.2</v>
      </c>
      <c r="AF11" s="45">
        <v>90.2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13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54.1</v>
      </c>
      <c r="C13" s="45">
        <v>54.1</v>
      </c>
      <c r="D13" s="45">
        <v>54.1</v>
      </c>
      <c r="E13" s="45">
        <v>54.1</v>
      </c>
      <c r="F13" s="45">
        <v>54.1</v>
      </c>
      <c r="G13" s="45">
        <v>54.1</v>
      </c>
      <c r="H13" s="45">
        <v>54.1</v>
      </c>
      <c r="I13" s="45">
        <v>54.3</v>
      </c>
      <c r="J13" s="45">
        <v>54.3</v>
      </c>
      <c r="K13" s="45">
        <v>54.3</v>
      </c>
      <c r="L13" s="45">
        <v>54.3</v>
      </c>
      <c r="M13" s="45">
        <v>54.2</v>
      </c>
      <c r="N13" s="45">
        <v>54.2</v>
      </c>
      <c r="O13" s="45">
        <v>54.2</v>
      </c>
      <c r="P13" s="45">
        <v>54.2</v>
      </c>
      <c r="Q13" s="45">
        <v>54.2</v>
      </c>
      <c r="R13" s="45">
        <v>54.2</v>
      </c>
      <c r="S13" s="45">
        <v>54.2</v>
      </c>
      <c r="T13" s="45">
        <v>54.2</v>
      </c>
      <c r="U13" s="45">
        <v>54.2</v>
      </c>
      <c r="V13" s="45">
        <v>54.2</v>
      </c>
      <c r="W13" s="45">
        <v>54.2</v>
      </c>
      <c r="X13" s="45">
        <v>54.2</v>
      </c>
      <c r="Y13" s="45">
        <v>54.2</v>
      </c>
      <c r="Z13" s="45">
        <v>54.2</v>
      </c>
      <c r="AA13" s="45">
        <v>54.2</v>
      </c>
      <c r="AB13" s="45">
        <v>54.2</v>
      </c>
      <c r="AC13" s="45">
        <v>54.2</v>
      </c>
      <c r="AD13" s="45">
        <v>54.2</v>
      </c>
      <c r="AE13" s="45">
        <v>54.2</v>
      </c>
      <c r="AF13" s="45">
        <v>54.2</v>
      </c>
      <c r="AG13" s="46">
        <v>52.4</v>
      </c>
      <c r="AH13" s="47">
        <f t="shared" si="2"/>
        <v>54.3</v>
      </c>
      <c r="AI13" s="48">
        <f t="shared" si="3"/>
        <v>54.1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50.6</v>
      </c>
      <c r="J14" s="58">
        <v>50.6</v>
      </c>
      <c r="K14" s="58">
        <v>50.6</v>
      </c>
      <c r="L14" s="58">
        <v>50.6</v>
      </c>
      <c r="M14" s="58">
        <v>50.3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50.6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46.3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46.4</v>
      </c>
      <c r="I15" s="45">
        <v>46.4</v>
      </c>
      <c r="J15" s="45">
        <v>46.4</v>
      </c>
      <c r="K15" s="45">
        <v>46.4</v>
      </c>
      <c r="L15" s="45">
        <v>46.4</v>
      </c>
      <c r="M15" s="45">
        <v>46.3</v>
      </c>
      <c r="N15" s="45">
        <v>46.3</v>
      </c>
      <c r="O15" s="45">
        <v>46.3</v>
      </c>
      <c r="P15" s="45">
        <v>46.3</v>
      </c>
      <c r="Q15" s="45">
        <v>46.3</v>
      </c>
      <c r="R15" s="45">
        <v>46.3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46.3</v>
      </c>
      <c r="AF15" s="45">
        <v>46.3</v>
      </c>
      <c r="AG15" s="49">
        <v>45</v>
      </c>
      <c r="AH15" s="47">
        <f t="shared" si="2"/>
        <v>46.4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34</v>
      </c>
      <c r="F16" s="45">
        <v>39</v>
      </c>
      <c r="G16" s="45">
        <v>0</v>
      </c>
      <c r="H16" s="45">
        <v>0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42</v>
      </c>
      <c r="C17" s="45">
        <v>42</v>
      </c>
      <c r="D17" s="45">
        <v>34</v>
      </c>
      <c r="E17" s="45">
        <v>34</v>
      </c>
      <c r="F17" s="45">
        <v>33</v>
      </c>
      <c r="G17" s="45">
        <v>42</v>
      </c>
      <c r="H17" s="45">
        <v>42</v>
      </c>
      <c r="I17" s="45">
        <v>42</v>
      </c>
      <c r="J17" s="45">
        <v>42</v>
      </c>
      <c r="K17" s="45">
        <v>42</v>
      </c>
      <c r="L17" s="45">
        <v>42</v>
      </c>
      <c r="M17" s="45">
        <v>42</v>
      </c>
      <c r="N17" s="45">
        <v>35.5</v>
      </c>
      <c r="O17" s="45">
        <v>35.5</v>
      </c>
      <c r="P17" s="45">
        <v>35.5</v>
      </c>
      <c r="Q17" s="45">
        <v>35.5</v>
      </c>
      <c r="R17" s="45">
        <v>35.5</v>
      </c>
      <c r="S17" s="45">
        <v>35.5</v>
      </c>
      <c r="T17" s="45">
        <v>35.5</v>
      </c>
      <c r="U17" s="45">
        <v>33</v>
      </c>
      <c r="V17" s="45">
        <v>26</v>
      </c>
      <c r="W17" s="45">
        <v>26</v>
      </c>
      <c r="X17" s="45">
        <v>26</v>
      </c>
      <c r="Y17" s="45">
        <v>33</v>
      </c>
      <c r="Z17" s="45">
        <v>33</v>
      </c>
      <c r="AA17" s="45">
        <v>33</v>
      </c>
      <c r="AB17" s="45">
        <v>33</v>
      </c>
      <c r="AC17" s="45">
        <v>33</v>
      </c>
      <c r="AD17" s="45">
        <v>33</v>
      </c>
      <c r="AE17" s="45">
        <v>33</v>
      </c>
      <c r="AF17" s="45">
        <v>33</v>
      </c>
      <c r="AG17" s="49">
        <v>42</v>
      </c>
      <c r="AH17" s="47">
        <f t="shared" si="2"/>
        <v>42</v>
      </c>
      <c r="AI17" s="48">
        <f t="shared" si="3"/>
        <v>26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24</v>
      </c>
      <c r="O18" s="45">
        <v>24</v>
      </c>
      <c r="P18" s="45">
        <v>24</v>
      </c>
      <c r="Q18" s="45">
        <v>24</v>
      </c>
      <c r="R18" s="45">
        <v>24</v>
      </c>
      <c r="S18" s="45">
        <v>24</v>
      </c>
      <c r="T18" s="45">
        <v>24</v>
      </c>
      <c r="U18" s="45">
        <v>24</v>
      </c>
      <c r="V18" s="45">
        <v>24</v>
      </c>
      <c r="W18" s="45">
        <v>24</v>
      </c>
      <c r="X18" s="45">
        <v>24</v>
      </c>
      <c r="Y18" s="45">
        <v>24</v>
      </c>
      <c r="Z18" s="45">
        <v>24</v>
      </c>
      <c r="AA18" s="45">
        <v>24</v>
      </c>
      <c r="AB18" s="45">
        <v>24</v>
      </c>
      <c r="AC18" s="45">
        <v>24</v>
      </c>
      <c r="AD18" s="45">
        <v>24</v>
      </c>
      <c r="AE18" s="45">
        <v>24</v>
      </c>
      <c r="AF18" s="45">
        <v>24</v>
      </c>
      <c r="AG18" s="49">
        <v>38.46</v>
      </c>
      <c r="AH18" s="47">
        <f t="shared" si="2"/>
        <v>38</v>
      </c>
      <c r="AI18" s="48">
        <f t="shared" si="3"/>
        <v>24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15</v>
      </c>
      <c r="D20" s="45">
        <v>10</v>
      </c>
      <c r="E20" s="45">
        <v>10</v>
      </c>
      <c r="F20" s="45">
        <v>10.199999999999999</v>
      </c>
      <c r="G20" s="45">
        <v>15.4</v>
      </c>
      <c r="H20" s="45">
        <v>20.399999999999999</v>
      </c>
      <c r="I20" s="45">
        <v>25.3</v>
      </c>
      <c r="J20" s="45">
        <v>29.5</v>
      </c>
      <c r="K20" s="45">
        <v>29.5</v>
      </c>
      <c r="L20" s="45">
        <v>29.5</v>
      </c>
      <c r="M20" s="45">
        <v>24.1</v>
      </c>
      <c r="N20" s="45">
        <v>24</v>
      </c>
      <c r="O20" s="45">
        <v>24</v>
      </c>
      <c r="P20" s="45">
        <v>30</v>
      </c>
      <c r="Q20" s="45">
        <v>18</v>
      </c>
      <c r="R20" s="45">
        <v>18</v>
      </c>
      <c r="S20" s="45">
        <v>18</v>
      </c>
      <c r="T20" s="45">
        <v>18</v>
      </c>
      <c r="U20" s="45">
        <v>18.3</v>
      </c>
      <c r="V20" s="45">
        <v>18.3</v>
      </c>
      <c r="W20" s="45">
        <v>18.3</v>
      </c>
      <c r="X20" s="45">
        <v>30.2</v>
      </c>
      <c r="Y20" s="45">
        <v>30.2</v>
      </c>
      <c r="Z20" s="45">
        <v>30.2</v>
      </c>
      <c r="AA20" s="45">
        <v>30.2</v>
      </c>
      <c r="AB20" s="45">
        <v>30.2</v>
      </c>
      <c r="AC20" s="45">
        <v>30.2</v>
      </c>
      <c r="AD20" s="45">
        <v>20</v>
      </c>
      <c r="AE20" s="45">
        <v>10</v>
      </c>
      <c r="AF20" s="45">
        <v>10</v>
      </c>
      <c r="AG20" s="51">
        <v>30</v>
      </c>
      <c r="AH20" s="47">
        <f t="shared" si="2"/>
        <v>30.2</v>
      </c>
      <c r="AI20" s="48">
        <f t="shared" si="3"/>
        <v>10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</v>
      </c>
      <c r="C21" s="45">
        <v>33</v>
      </c>
      <c r="D21" s="45">
        <v>33</v>
      </c>
      <c r="E21" s="45">
        <v>33</v>
      </c>
      <c r="F21" s="45">
        <v>32.4</v>
      </c>
      <c r="G21" s="45">
        <v>33.1</v>
      </c>
      <c r="H21" s="45">
        <v>33.1</v>
      </c>
      <c r="I21" s="45">
        <v>33</v>
      </c>
      <c r="J21" s="45">
        <v>33</v>
      </c>
      <c r="K21" s="45">
        <v>33</v>
      </c>
      <c r="L21" s="45">
        <v>33</v>
      </c>
      <c r="M21" s="45">
        <v>33.1</v>
      </c>
      <c r="N21" s="45">
        <v>33.1</v>
      </c>
      <c r="O21" s="45">
        <v>33.1</v>
      </c>
      <c r="P21" s="45">
        <v>33.1</v>
      </c>
      <c r="Q21" s="45">
        <v>33.1</v>
      </c>
      <c r="R21" s="45">
        <v>33.1</v>
      </c>
      <c r="S21" s="45">
        <v>33.1</v>
      </c>
      <c r="T21" s="45">
        <v>33.1</v>
      </c>
      <c r="U21" s="45">
        <v>33.1</v>
      </c>
      <c r="V21" s="45">
        <v>33.1</v>
      </c>
      <c r="W21" s="45">
        <v>33.1</v>
      </c>
      <c r="X21" s="45">
        <v>33.1</v>
      </c>
      <c r="Y21" s="45">
        <v>33.5</v>
      </c>
      <c r="Z21" s="45">
        <v>33.5</v>
      </c>
      <c r="AA21" s="45">
        <v>33.5</v>
      </c>
      <c r="AB21" s="45">
        <v>33.5</v>
      </c>
      <c r="AC21" s="45">
        <v>33.5</v>
      </c>
      <c r="AD21" s="45">
        <v>33.5</v>
      </c>
      <c r="AE21" s="45">
        <v>33.5</v>
      </c>
      <c r="AF21" s="45">
        <v>33.5</v>
      </c>
      <c r="AG21" s="49">
        <v>24.2</v>
      </c>
      <c r="AH21" s="47">
        <f t="shared" si="2"/>
        <v>33.5</v>
      </c>
      <c r="AI21" s="48">
        <f t="shared" si="3"/>
        <v>32.4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28.6</v>
      </c>
      <c r="C22" s="45">
        <v>28.6</v>
      </c>
      <c r="D22" s="45">
        <v>28.6</v>
      </c>
      <c r="E22" s="45">
        <v>28.6</v>
      </c>
      <c r="F22" s="45">
        <v>28.4</v>
      </c>
      <c r="G22" s="45">
        <v>28.4</v>
      </c>
      <c r="H22" s="45">
        <v>28.4</v>
      </c>
      <c r="I22" s="45">
        <v>28.4</v>
      </c>
      <c r="J22" s="45">
        <v>28.4</v>
      </c>
      <c r="K22" s="45">
        <v>28.4</v>
      </c>
      <c r="L22" s="45">
        <v>28.4</v>
      </c>
      <c r="M22" s="45">
        <v>28.6</v>
      </c>
      <c r="N22" s="45">
        <v>28.6</v>
      </c>
      <c r="O22" s="45">
        <v>28.6</v>
      </c>
      <c r="P22" s="45">
        <v>28.6</v>
      </c>
      <c r="Q22" s="45">
        <v>28.6</v>
      </c>
      <c r="R22" s="45">
        <v>28.6</v>
      </c>
      <c r="S22" s="45">
        <v>28.6</v>
      </c>
      <c r="T22" s="45">
        <v>28.6</v>
      </c>
      <c r="U22" s="45">
        <v>28.6</v>
      </c>
      <c r="V22" s="45">
        <v>28.6</v>
      </c>
      <c r="W22" s="45">
        <v>28.6</v>
      </c>
      <c r="X22" s="45">
        <v>28.6</v>
      </c>
      <c r="Y22" s="45">
        <v>28.6</v>
      </c>
      <c r="Z22" s="45">
        <v>28.6</v>
      </c>
      <c r="AA22" s="45">
        <v>28.6</v>
      </c>
      <c r="AB22" s="45">
        <v>28.6</v>
      </c>
      <c r="AC22" s="45">
        <v>28.6</v>
      </c>
      <c r="AD22" s="45">
        <v>28.6</v>
      </c>
      <c r="AE22" s="45">
        <v>28.6</v>
      </c>
      <c r="AF22" s="45">
        <v>28.6</v>
      </c>
      <c r="AG22" s="49">
        <v>28</v>
      </c>
      <c r="AH22" s="47">
        <f t="shared" si="2"/>
        <v>28.6</v>
      </c>
      <c r="AI22" s="48">
        <f t="shared" si="3"/>
        <v>28.4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14</v>
      </c>
      <c r="C23" s="45">
        <v>14</v>
      </c>
      <c r="D23" s="45">
        <v>9</v>
      </c>
      <c r="E23" s="45">
        <v>9</v>
      </c>
      <c r="F23" s="45">
        <v>9</v>
      </c>
      <c r="G23" s="45">
        <v>9</v>
      </c>
      <c r="H23" s="45">
        <v>13.8</v>
      </c>
      <c r="I23" s="45">
        <v>20.8</v>
      </c>
      <c r="J23" s="45">
        <v>23</v>
      </c>
      <c r="K23" s="45">
        <v>28.41</v>
      </c>
      <c r="L23" s="45">
        <v>28.41</v>
      </c>
      <c r="M23" s="45">
        <v>22.5</v>
      </c>
      <c r="N23" s="45">
        <v>21.6</v>
      </c>
      <c r="O23" s="45">
        <v>21.6</v>
      </c>
      <c r="P23" s="45">
        <v>27</v>
      </c>
      <c r="Q23" s="45">
        <v>21</v>
      </c>
      <c r="R23" s="45">
        <v>16</v>
      </c>
      <c r="S23" s="45">
        <v>16</v>
      </c>
      <c r="T23" s="45">
        <v>16</v>
      </c>
      <c r="U23" s="45">
        <v>16</v>
      </c>
      <c r="V23" s="45">
        <v>21</v>
      </c>
      <c r="W23" s="45">
        <v>21</v>
      </c>
      <c r="X23" s="45">
        <v>21</v>
      </c>
      <c r="Y23" s="45">
        <v>21</v>
      </c>
      <c r="Z23" s="45">
        <v>21</v>
      </c>
      <c r="AA23" s="45">
        <v>21</v>
      </c>
      <c r="AB23" s="45">
        <v>21</v>
      </c>
      <c r="AC23" s="45">
        <v>21</v>
      </c>
      <c r="AD23" s="45">
        <v>21</v>
      </c>
      <c r="AE23" s="45">
        <v>9</v>
      </c>
      <c r="AF23" s="45">
        <v>6</v>
      </c>
      <c r="AG23" s="51">
        <v>30</v>
      </c>
      <c r="AH23" s="47">
        <f t="shared" si="2"/>
        <v>28.41</v>
      </c>
      <c r="AI23" s="48">
        <f t="shared" si="3"/>
        <v>6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26.3</v>
      </c>
      <c r="C24" s="45">
        <v>26.3</v>
      </c>
      <c r="D24" s="45">
        <v>26.3</v>
      </c>
      <c r="E24" s="45">
        <v>26.3</v>
      </c>
      <c r="F24" s="45">
        <v>24.5</v>
      </c>
      <c r="G24" s="45">
        <v>24.5</v>
      </c>
      <c r="H24" s="45">
        <v>26</v>
      </c>
      <c r="I24" s="45">
        <v>25.9</v>
      </c>
      <c r="J24" s="45">
        <v>25.9</v>
      </c>
      <c r="K24" s="45">
        <v>26</v>
      </c>
      <c r="L24" s="45">
        <v>26</v>
      </c>
      <c r="M24" s="45">
        <v>26</v>
      </c>
      <c r="N24" s="45">
        <v>26</v>
      </c>
      <c r="O24" s="45">
        <v>26</v>
      </c>
      <c r="P24" s="45">
        <v>26</v>
      </c>
      <c r="Q24" s="45">
        <v>26</v>
      </c>
      <c r="R24" s="45">
        <v>26</v>
      </c>
      <c r="S24" s="45">
        <v>26</v>
      </c>
      <c r="T24" s="45">
        <v>26</v>
      </c>
      <c r="U24" s="45">
        <v>26</v>
      </c>
      <c r="V24" s="45">
        <v>26</v>
      </c>
      <c r="W24" s="45">
        <v>26</v>
      </c>
      <c r="X24" s="45">
        <v>26</v>
      </c>
      <c r="Y24" s="45">
        <v>26</v>
      </c>
      <c r="Z24" s="45">
        <v>26</v>
      </c>
      <c r="AA24" s="45">
        <v>26</v>
      </c>
      <c r="AB24" s="45">
        <v>26</v>
      </c>
      <c r="AC24" s="45">
        <v>26</v>
      </c>
      <c r="AD24" s="45">
        <v>26</v>
      </c>
      <c r="AE24" s="45">
        <v>26</v>
      </c>
      <c r="AF24" s="45">
        <v>26</v>
      </c>
      <c r="AG24" s="49">
        <v>25</v>
      </c>
      <c r="AH24" s="47">
        <f t="shared" si="2"/>
        <v>26.3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13</v>
      </c>
      <c r="C27" s="45">
        <v>13</v>
      </c>
      <c r="D27" s="45">
        <v>8</v>
      </c>
      <c r="E27" s="45">
        <v>8</v>
      </c>
      <c r="F27" s="45">
        <v>8</v>
      </c>
      <c r="G27" s="45">
        <v>8</v>
      </c>
      <c r="H27" s="45">
        <v>12</v>
      </c>
      <c r="I27" s="45">
        <v>12</v>
      </c>
      <c r="J27" s="45">
        <v>20</v>
      </c>
      <c r="K27" s="45">
        <v>25</v>
      </c>
      <c r="L27" s="45">
        <v>25</v>
      </c>
      <c r="M27" s="45">
        <v>20</v>
      </c>
      <c r="N27" s="45">
        <v>20</v>
      </c>
      <c r="O27" s="45">
        <v>20</v>
      </c>
      <c r="P27" s="45">
        <v>15</v>
      </c>
      <c r="Q27" s="45">
        <v>15</v>
      </c>
      <c r="R27" s="45">
        <v>15</v>
      </c>
      <c r="S27" s="45">
        <v>15</v>
      </c>
      <c r="T27" s="45">
        <v>15</v>
      </c>
      <c r="U27" s="45">
        <v>15</v>
      </c>
      <c r="V27" s="45">
        <v>20</v>
      </c>
      <c r="W27" s="45">
        <v>20</v>
      </c>
      <c r="X27" s="45">
        <v>20</v>
      </c>
      <c r="Y27" s="45">
        <v>20</v>
      </c>
      <c r="Z27" s="45">
        <v>20</v>
      </c>
      <c r="AA27" s="45">
        <v>20</v>
      </c>
      <c r="AB27" s="45">
        <v>20</v>
      </c>
      <c r="AC27" s="45">
        <v>20</v>
      </c>
      <c r="AD27" s="45">
        <v>17</v>
      </c>
      <c r="AE27" s="45">
        <v>17</v>
      </c>
      <c r="AF27" s="45">
        <v>17</v>
      </c>
      <c r="AG27" s="49">
        <v>25</v>
      </c>
      <c r="AH27" s="47">
        <f t="shared" si="2"/>
        <v>25</v>
      </c>
      <c r="AI27" s="48">
        <f t="shared" si="3"/>
        <v>8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</v>
      </c>
      <c r="C28" s="45">
        <v>25</v>
      </c>
      <c r="D28" s="45">
        <v>25</v>
      </c>
      <c r="E28" s="45">
        <v>25</v>
      </c>
      <c r="F28" s="45">
        <v>25</v>
      </c>
      <c r="G28" s="45">
        <v>25</v>
      </c>
      <c r="H28" s="45">
        <v>25</v>
      </c>
      <c r="I28" s="45">
        <v>25</v>
      </c>
      <c r="J28" s="45">
        <v>25</v>
      </c>
      <c r="K28" s="45">
        <v>25</v>
      </c>
      <c r="L28" s="45">
        <v>25</v>
      </c>
      <c r="M28" s="45">
        <v>25.4</v>
      </c>
      <c r="N28" s="45">
        <v>25.3</v>
      </c>
      <c r="O28" s="45">
        <v>25.3</v>
      </c>
      <c r="P28" s="45">
        <v>25.3</v>
      </c>
      <c r="Q28" s="45">
        <v>25.3</v>
      </c>
      <c r="R28" s="45">
        <v>25.3</v>
      </c>
      <c r="S28" s="45">
        <v>25.3</v>
      </c>
      <c r="T28" s="45">
        <v>25.3</v>
      </c>
      <c r="U28" s="45">
        <v>25.3</v>
      </c>
      <c r="V28" s="45">
        <v>25.3</v>
      </c>
      <c r="W28" s="45">
        <v>25.3</v>
      </c>
      <c r="X28" s="45">
        <v>25.3</v>
      </c>
      <c r="Y28" s="45">
        <v>25.3</v>
      </c>
      <c r="Z28" s="45">
        <v>25.3</v>
      </c>
      <c r="AA28" s="45">
        <v>25.3</v>
      </c>
      <c r="AB28" s="45">
        <v>25.3</v>
      </c>
      <c r="AC28" s="45">
        <v>25.3</v>
      </c>
      <c r="AD28" s="45">
        <v>25.3</v>
      </c>
      <c r="AE28" s="45">
        <v>25.3</v>
      </c>
      <c r="AF28" s="45">
        <v>25.3</v>
      </c>
      <c r="AG28" s="49">
        <v>23.5</v>
      </c>
      <c r="AH28" s="47">
        <f t="shared" si="2"/>
        <v>25.4</v>
      </c>
      <c r="AI28" s="48">
        <f t="shared" si="3"/>
        <v>25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20.399999999999999</v>
      </c>
      <c r="O32" s="45">
        <v>20.399999999999999</v>
      </c>
      <c r="P32" s="45">
        <v>20.399999999999999</v>
      </c>
      <c r="Q32" s="45">
        <v>20.399999999999999</v>
      </c>
      <c r="R32" s="45">
        <v>20.399999999999999</v>
      </c>
      <c r="S32" s="45">
        <v>20.399999999999999</v>
      </c>
      <c r="T32" s="45">
        <v>20.399999999999999</v>
      </c>
      <c r="U32" s="45">
        <v>20.399999999999999</v>
      </c>
      <c r="V32" s="45">
        <v>20.399999999999999</v>
      </c>
      <c r="W32" s="45">
        <v>20.399999999999999</v>
      </c>
      <c r="X32" s="45">
        <v>20.399999999999999</v>
      </c>
      <c r="Y32" s="45">
        <v>20.399999999999999</v>
      </c>
      <c r="Z32" s="45">
        <v>20.399999999999999</v>
      </c>
      <c r="AA32" s="45">
        <v>20.399999999999999</v>
      </c>
      <c r="AB32" s="45">
        <v>20.399999999999999</v>
      </c>
      <c r="AC32" s="45">
        <v>20.399999999999999</v>
      </c>
      <c r="AD32" s="45">
        <v>20.399999999999999</v>
      </c>
      <c r="AE32" s="45">
        <v>20.399999999999999</v>
      </c>
      <c r="AF32" s="45">
        <v>20.399999999999999</v>
      </c>
      <c r="AG32" s="49">
        <v>22</v>
      </c>
      <c r="AH32" s="47">
        <f t="shared" si="2"/>
        <v>22</v>
      </c>
      <c r="AI32" s="48">
        <f t="shared" si="3"/>
        <v>20.399999999999999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12</v>
      </c>
      <c r="C33" s="45">
        <v>18</v>
      </c>
      <c r="D33" s="45">
        <v>18</v>
      </c>
      <c r="E33" s="45">
        <v>12</v>
      </c>
      <c r="F33" s="45">
        <v>15</v>
      </c>
      <c r="G33" s="45">
        <v>20</v>
      </c>
      <c r="H33" s="45">
        <v>20</v>
      </c>
      <c r="I33" s="45">
        <v>20</v>
      </c>
      <c r="J33" s="45">
        <v>20</v>
      </c>
      <c r="K33" s="45">
        <v>20</v>
      </c>
      <c r="L33" s="45">
        <v>20</v>
      </c>
      <c r="M33" s="45">
        <v>20</v>
      </c>
      <c r="N33" s="45">
        <v>12</v>
      </c>
      <c r="O33" s="45">
        <v>7</v>
      </c>
      <c r="P33" s="45">
        <v>7</v>
      </c>
      <c r="Q33" s="45">
        <v>15</v>
      </c>
      <c r="R33" s="45">
        <v>16</v>
      </c>
      <c r="S33" s="45">
        <v>16</v>
      </c>
      <c r="T33" s="45">
        <v>16</v>
      </c>
      <c r="U33" s="45">
        <v>16</v>
      </c>
      <c r="V33" s="45">
        <v>3.5</v>
      </c>
      <c r="W33" s="45">
        <v>3.5</v>
      </c>
      <c r="X33" s="45">
        <v>6</v>
      </c>
      <c r="Y33" s="45">
        <v>10</v>
      </c>
      <c r="Z33" s="45">
        <v>7</v>
      </c>
      <c r="AA33" s="45">
        <v>7</v>
      </c>
      <c r="AB33" s="45">
        <v>7</v>
      </c>
      <c r="AC33" s="45">
        <v>7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20</v>
      </c>
      <c r="AI33" s="48">
        <f t="shared" si="3"/>
        <v>3.5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10</v>
      </c>
      <c r="C34" s="45">
        <v>14</v>
      </c>
      <c r="D34" s="45">
        <v>14</v>
      </c>
      <c r="E34" s="45">
        <v>14</v>
      </c>
      <c r="F34" s="45">
        <v>9</v>
      </c>
      <c r="G34" s="45">
        <v>9</v>
      </c>
      <c r="H34" s="45">
        <v>9</v>
      </c>
      <c r="I34" s="45">
        <v>9</v>
      </c>
      <c r="J34" s="45">
        <v>9</v>
      </c>
      <c r="K34" s="45">
        <v>9</v>
      </c>
      <c r="L34" s="45">
        <v>9</v>
      </c>
      <c r="M34" s="45">
        <v>9</v>
      </c>
      <c r="N34" s="45">
        <v>9</v>
      </c>
      <c r="O34" s="45">
        <v>9</v>
      </c>
      <c r="P34" s="45">
        <v>13</v>
      </c>
      <c r="Q34" s="45">
        <v>13</v>
      </c>
      <c r="R34" s="45">
        <v>13</v>
      </c>
      <c r="S34" s="45">
        <v>13</v>
      </c>
      <c r="T34" s="45">
        <v>13</v>
      </c>
      <c r="U34" s="45">
        <v>13</v>
      </c>
      <c r="V34" s="45">
        <v>5</v>
      </c>
      <c r="W34" s="45">
        <v>5</v>
      </c>
      <c r="X34" s="45">
        <v>9</v>
      </c>
      <c r="Y34" s="45">
        <v>9</v>
      </c>
      <c r="Z34" s="45">
        <v>4</v>
      </c>
      <c r="AA34" s="45">
        <v>4</v>
      </c>
      <c r="AB34" s="45">
        <v>4</v>
      </c>
      <c r="AC34" s="45">
        <v>4</v>
      </c>
      <c r="AD34" s="45">
        <v>4</v>
      </c>
      <c r="AE34" s="45">
        <v>4</v>
      </c>
      <c r="AF34" s="45">
        <v>4</v>
      </c>
      <c r="AG34" s="49">
        <v>18</v>
      </c>
      <c r="AH34" s="47">
        <f t="shared" si="2"/>
        <v>14</v>
      </c>
      <c r="AI34" s="48">
        <f t="shared" si="3"/>
        <v>4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7</v>
      </c>
      <c r="C37" s="45">
        <v>7</v>
      </c>
      <c r="D37" s="45">
        <v>7</v>
      </c>
      <c r="E37" s="45">
        <v>7</v>
      </c>
      <c r="F37" s="45">
        <v>7</v>
      </c>
      <c r="G37" s="45">
        <v>7</v>
      </c>
      <c r="H37" s="45">
        <v>7</v>
      </c>
      <c r="I37" s="45">
        <v>7</v>
      </c>
      <c r="J37" s="45">
        <v>7</v>
      </c>
      <c r="K37" s="45">
        <v>7</v>
      </c>
      <c r="L37" s="45">
        <v>7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7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6</v>
      </c>
      <c r="D39" s="45">
        <v>4</v>
      </c>
      <c r="E39" s="45">
        <v>4</v>
      </c>
      <c r="F39" s="45">
        <v>4</v>
      </c>
      <c r="G39" s="45">
        <v>4</v>
      </c>
      <c r="H39" s="45">
        <v>6</v>
      </c>
      <c r="I39" s="45">
        <v>6</v>
      </c>
      <c r="J39" s="45">
        <v>9</v>
      </c>
      <c r="K39" s="45">
        <v>12</v>
      </c>
      <c r="L39" s="45">
        <v>12</v>
      </c>
      <c r="M39" s="45">
        <v>12</v>
      </c>
      <c r="N39" s="45">
        <v>9.6</v>
      </c>
      <c r="O39" s="45">
        <v>9.6</v>
      </c>
      <c r="P39" s="45">
        <v>7.2</v>
      </c>
      <c r="Q39" s="45">
        <v>7.2</v>
      </c>
      <c r="R39" s="45">
        <v>7.2</v>
      </c>
      <c r="S39" s="45">
        <v>7.2</v>
      </c>
      <c r="T39" s="45">
        <v>7.2</v>
      </c>
      <c r="U39" s="45">
        <v>7</v>
      </c>
      <c r="V39" s="45">
        <v>9</v>
      </c>
      <c r="W39" s="45">
        <v>9</v>
      </c>
      <c r="X39" s="45">
        <v>9</v>
      </c>
      <c r="Y39" s="45">
        <v>9</v>
      </c>
      <c r="Z39" s="45">
        <v>9</v>
      </c>
      <c r="AA39" s="45">
        <v>9</v>
      </c>
      <c r="AB39" s="45">
        <v>9</v>
      </c>
      <c r="AC39" s="45">
        <v>9</v>
      </c>
      <c r="AD39" s="45">
        <v>9</v>
      </c>
      <c r="AE39" s="45">
        <v>9</v>
      </c>
      <c r="AF39" s="45">
        <v>9</v>
      </c>
      <c r="AG39" s="49">
        <v>12</v>
      </c>
      <c r="AH39" s="47">
        <f t="shared" si="2"/>
        <v>12</v>
      </c>
      <c r="AI39" s="48">
        <f t="shared" si="3"/>
        <v>4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9</v>
      </c>
      <c r="C45" s="45">
        <v>9</v>
      </c>
      <c r="D45" s="45">
        <v>9</v>
      </c>
      <c r="E45" s="45">
        <v>9</v>
      </c>
      <c r="F45" s="45">
        <v>9</v>
      </c>
      <c r="G45" s="45">
        <v>9</v>
      </c>
      <c r="H45" s="45">
        <v>9</v>
      </c>
      <c r="I45" s="45">
        <v>9</v>
      </c>
      <c r="J45" s="45">
        <v>9</v>
      </c>
      <c r="K45" s="45">
        <v>9</v>
      </c>
      <c r="L45" s="45">
        <v>9</v>
      </c>
      <c r="M45" s="45">
        <v>9</v>
      </c>
      <c r="N45" s="45">
        <v>9</v>
      </c>
      <c r="O45" s="45">
        <v>9</v>
      </c>
      <c r="P45" s="45">
        <v>9</v>
      </c>
      <c r="Q45" s="45">
        <v>9</v>
      </c>
      <c r="R45" s="45">
        <v>9</v>
      </c>
      <c r="S45" s="45">
        <v>9</v>
      </c>
      <c r="T45" s="45">
        <v>9</v>
      </c>
      <c r="U45" s="45">
        <v>9</v>
      </c>
      <c r="V45" s="45">
        <v>9</v>
      </c>
      <c r="W45" s="45">
        <v>9</v>
      </c>
      <c r="X45" s="45">
        <v>9</v>
      </c>
      <c r="Y45" s="45">
        <v>9</v>
      </c>
      <c r="Z45" s="45">
        <v>9</v>
      </c>
      <c r="AA45" s="45">
        <v>9</v>
      </c>
      <c r="AB45" s="45">
        <v>9</v>
      </c>
      <c r="AC45" s="45">
        <v>9</v>
      </c>
      <c r="AD45" s="45">
        <v>9</v>
      </c>
      <c r="AE45" s="45">
        <v>9</v>
      </c>
      <c r="AF45" s="45">
        <v>9</v>
      </c>
      <c r="AG45" s="54">
        <v>10</v>
      </c>
      <c r="AH45" s="47">
        <f t="shared" si="2"/>
        <v>9</v>
      </c>
      <c r="AI45" s="48">
        <f t="shared" si="3"/>
        <v>9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124.4</v>
      </c>
      <c r="C49" s="56">
        <v>124.4</v>
      </c>
      <c r="D49" s="56">
        <v>124.4</v>
      </c>
      <c r="E49" s="56">
        <v>124.4</v>
      </c>
      <c r="F49" s="56">
        <v>130</v>
      </c>
      <c r="G49" s="56">
        <v>130</v>
      </c>
      <c r="H49" s="58">
        <v>130</v>
      </c>
      <c r="I49" s="58">
        <v>130</v>
      </c>
      <c r="J49" s="58">
        <v>128</v>
      </c>
      <c r="K49" s="58">
        <v>128</v>
      </c>
      <c r="L49" s="58">
        <v>128</v>
      </c>
      <c r="M49" s="58">
        <f>91.7+36.6</f>
        <v>128.30000000000001</v>
      </c>
      <c r="N49" s="58">
        <f>92.4+36.3</f>
        <v>128.69999999999999</v>
      </c>
      <c r="O49" s="58">
        <f>92.6+36.1</f>
        <v>128.69999999999999</v>
      </c>
      <c r="P49" s="58">
        <f>93.4+36.8</f>
        <v>130.19999999999999</v>
      </c>
      <c r="Q49" s="58">
        <f>84.6+34.4</f>
        <v>119</v>
      </c>
      <c r="R49" s="58">
        <f>85.3+33.6</f>
        <v>118.9</v>
      </c>
      <c r="S49" s="58">
        <f>85.3+33.6</f>
        <v>118.9</v>
      </c>
      <c r="T49" s="58">
        <f>85.3+33.6</f>
        <v>118.9</v>
      </c>
      <c r="U49" s="58">
        <v>127.9</v>
      </c>
      <c r="V49" s="58">
        <v>127.9</v>
      </c>
      <c r="W49" s="58">
        <v>127.9</v>
      </c>
      <c r="X49" s="58">
        <v>127.9</v>
      </c>
      <c r="Y49" s="56">
        <v>124</v>
      </c>
      <c r="Z49" s="56">
        <v>124</v>
      </c>
      <c r="AA49" s="56">
        <v>124</v>
      </c>
      <c r="AB49" s="56">
        <v>124</v>
      </c>
      <c r="AC49" s="56">
        <f>35.9+92.2</f>
        <v>128.1</v>
      </c>
      <c r="AD49" s="56">
        <f>35.9+92.2</f>
        <v>128.1</v>
      </c>
      <c r="AE49" s="56">
        <f>35.9+92.2</f>
        <v>128.1</v>
      </c>
      <c r="AF49" s="56">
        <f>35.9+92.2</f>
        <v>128.1</v>
      </c>
      <c r="AG49" s="54">
        <v>240</v>
      </c>
      <c r="AH49" s="47">
        <f t="shared" si="2"/>
        <v>130.19999999999999</v>
      </c>
      <c r="AI49" s="48">
        <f t="shared" si="3"/>
        <v>118.9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1184.0999999999999</v>
      </c>
      <c r="C50" s="60">
        <f t="shared" si="4"/>
        <v>1183.8</v>
      </c>
      <c r="D50" s="60">
        <f t="shared" si="4"/>
        <v>1158.8</v>
      </c>
      <c r="E50" s="60">
        <f t="shared" si="4"/>
        <v>1142.8</v>
      </c>
      <c r="F50" s="60">
        <f t="shared" si="4"/>
        <v>1142.3999999999999</v>
      </c>
      <c r="G50" s="60">
        <f t="shared" si="4"/>
        <v>1123.3</v>
      </c>
      <c r="H50" s="60">
        <f t="shared" si="4"/>
        <v>1151</v>
      </c>
      <c r="I50" s="60">
        <f t="shared" si="4"/>
        <v>1116.7</v>
      </c>
      <c r="J50" s="60">
        <f t="shared" si="4"/>
        <v>1190.0999999999999</v>
      </c>
      <c r="K50" s="60">
        <f t="shared" si="4"/>
        <v>1204.6100000000001</v>
      </c>
      <c r="L50" s="60">
        <f t="shared" si="4"/>
        <v>1147.6100000000001</v>
      </c>
      <c r="M50" s="60">
        <f t="shared" si="4"/>
        <v>1131</v>
      </c>
      <c r="N50" s="60">
        <f t="shared" si="4"/>
        <v>1187.9000000000001</v>
      </c>
      <c r="O50" s="60">
        <f t="shared" si="4"/>
        <v>1182.9000000000001</v>
      </c>
      <c r="P50" s="60">
        <f t="shared" si="4"/>
        <v>1190.9000000000001</v>
      </c>
      <c r="Q50" s="60">
        <f t="shared" si="4"/>
        <v>1180.9000000000001</v>
      </c>
      <c r="R50" s="60">
        <f t="shared" si="4"/>
        <v>1176.7</v>
      </c>
      <c r="S50" s="60">
        <f t="shared" ref="S50:T50" si="5">SUM(S11:S48)</f>
        <v>1176.7</v>
      </c>
      <c r="T50" s="60">
        <f t="shared" si="5"/>
        <v>1176.7</v>
      </c>
      <c r="U50" s="60">
        <f t="shared" ref="U50:V50" si="6">SUM(U11:U48)</f>
        <v>1174.3000000000002</v>
      </c>
      <c r="V50" s="60">
        <f t="shared" si="6"/>
        <v>1158.8000000000002</v>
      </c>
      <c r="W50" s="60">
        <f t="shared" ref="W50:Y50" si="7">SUM(W11:W48)</f>
        <v>1158.8000000000002</v>
      </c>
      <c r="X50" s="60">
        <f t="shared" si="7"/>
        <v>1177.1999999999998</v>
      </c>
      <c r="Y50" s="60">
        <f t="shared" si="7"/>
        <v>1188.5999999999999</v>
      </c>
      <c r="Z50" s="60">
        <f t="shared" ref="Z50:AA50" si="8">SUM(Z11:Z48)</f>
        <v>1180.5999999999999</v>
      </c>
      <c r="AA50" s="60">
        <f t="shared" si="8"/>
        <v>1180.5999999999999</v>
      </c>
      <c r="AB50" s="60">
        <f t="shared" si="4"/>
        <v>1180.5999999999999</v>
      </c>
      <c r="AC50" s="60">
        <f t="shared" si="4"/>
        <v>1180.5999999999999</v>
      </c>
      <c r="AD50" s="60">
        <f t="shared" si="4"/>
        <v>1165.4000000000001</v>
      </c>
      <c r="AE50" s="60">
        <f t="shared" si="4"/>
        <v>1143.4000000000001</v>
      </c>
      <c r="AF50" s="60">
        <f t="shared" si="4"/>
        <v>1140.4000000000001</v>
      </c>
      <c r="AG50" s="61">
        <f>SUM(AG13:AG48)</f>
        <v>922.14</v>
      </c>
      <c r="AH50" s="47">
        <f t="shared" si="2"/>
        <v>1204.6100000000001</v>
      </c>
      <c r="AI50" s="48">
        <f t="shared" si="3"/>
        <v>1116.7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456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0</v>
      </c>
      <c r="Q53" s="66">
        <v>0</v>
      </c>
      <c r="R53" s="66">
        <v>0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0</v>
      </c>
      <c r="AK53" s="50"/>
    </row>
    <row r="54" spans="1:41" ht="15.75" thickBot="1" x14ac:dyDescent="0.3">
      <c r="A54" s="68" t="s">
        <v>62</v>
      </c>
      <c r="B54" s="60">
        <f t="shared" ref="B54:AG54" si="9">SUM(B51:B53)</f>
        <v>538.4</v>
      </c>
      <c r="C54" s="60">
        <f t="shared" si="9"/>
        <v>538.4</v>
      </c>
      <c r="D54" s="60">
        <f t="shared" si="9"/>
        <v>538.4</v>
      </c>
      <c r="E54" s="60">
        <f t="shared" si="9"/>
        <v>538.4</v>
      </c>
      <c r="F54" s="60">
        <f t="shared" si="9"/>
        <v>538</v>
      </c>
      <c r="G54" s="60">
        <f t="shared" si="9"/>
        <v>538</v>
      </c>
      <c r="H54" s="60">
        <f t="shared" si="9"/>
        <v>538</v>
      </c>
      <c r="I54" s="60">
        <f t="shared" si="9"/>
        <v>538</v>
      </c>
      <c r="J54" s="60">
        <f t="shared" si="9"/>
        <v>538</v>
      </c>
      <c r="K54" s="60">
        <f t="shared" si="9"/>
        <v>538</v>
      </c>
      <c r="L54" s="60">
        <f t="shared" si="9"/>
        <v>538</v>
      </c>
      <c r="M54" s="60">
        <f t="shared" si="9"/>
        <v>538</v>
      </c>
      <c r="N54" s="60">
        <f t="shared" si="9"/>
        <v>538</v>
      </c>
      <c r="O54" s="60">
        <f t="shared" si="9"/>
        <v>538</v>
      </c>
      <c r="P54" s="60">
        <f t="shared" si="9"/>
        <v>516</v>
      </c>
      <c r="Q54" s="60">
        <f t="shared" si="9"/>
        <v>516</v>
      </c>
      <c r="R54" s="60">
        <f t="shared" si="9"/>
        <v>516</v>
      </c>
      <c r="S54" s="60">
        <f t="shared" ref="S54:T54" si="10">SUM(S51:S53)</f>
        <v>538.4</v>
      </c>
      <c r="T54" s="60">
        <f t="shared" si="10"/>
        <v>538.4</v>
      </c>
      <c r="U54" s="60">
        <f t="shared" ref="U54:V54" si="11">SUM(U51:U53)</f>
        <v>538.4</v>
      </c>
      <c r="V54" s="60">
        <f t="shared" si="11"/>
        <v>538.4</v>
      </c>
      <c r="W54" s="60">
        <f t="shared" ref="W54:Y54" si="12">SUM(W51:W53)</f>
        <v>538.4</v>
      </c>
      <c r="X54" s="60">
        <f t="shared" si="12"/>
        <v>538.4</v>
      </c>
      <c r="Y54" s="60">
        <f t="shared" si="12"/>
        <v>538.4</v>
      </c>
      <c r="Z54" s="60">
        <f t="shared" ref="Z54:AA54" si="13">SUM(Z51:Z53)</f>
        <v>538.4</v>
      </c>
      <c r="AA54" s="60">
        <f t="shared" si="13"/>
        <v>538.4</v>
      </c>
      <c r="AB54" s="60">
        <f t="shared" si="9"/>
        <v>538.4</v>
      </c>
      <c r="AC54" s="60">
        <f t="shared" si="9"/>
        <v>538.4</v>
      </c>
      <c r="AD54" s="60">
        <f t="shared" si="9"/>
        <v>538.4</v>
      </c>
      <c r="AE54" s="60">
        <f t="shared" si="9"/>
        <v>538.4</v>
      </c>
      <c r="AF54" s="60">
        <f t="shared" si="9"/>
        <v>538.4</v>
      </c>
      <c r="AG54" s="61">
        <f t="shared" si="9"/>
        <v>538.1</v>
      </c>
      <c r="AH54" s="47">
        <f t="shared" si="2"/>
        <v>538.4</v>
      </c>
      <c r="AI54" s="48">
        <f t="shared" si="3"/>
        <v>516</v>
      </c>
      <c r="AK54" s="50"/>
    </row>
    <row r="55" spans="1:41" x14ac:dyDescent="0.25">
      <c r="A55" s="44" t="s">
        <v>63</v>
      </c>
      <c r="B55" s="45">
        <v>146.30000000000001</v>
      </c>
      <c r="C55" s="45">
        <v>146.30000000000001</v>
      </c>
      <c r="D55" s="45">
        <v>146.30000000000001</v>
      </c>
      <c r="E55" s="45">
        <v>146.30000000000001</v>
      </c>
      <c r="F55" s="45">
        <v>145.4</v>
      </c>
      <c r="G55" s="45">
        <v>145.6</v>
      </c>
      <c r="H55" s="45">
        <v>146</v>
      </c>
      <c r="I55" s="45">
        <v>145.9</v>
      </c>
      <c r="J55" s="45">
        <v>146</v>
      </c>
      <c r="K55" s="45">
        <v>146</v>
      </c>
      <c r="L55" s="45">
        <v>146</v>
      </c>
      <c r="M55" s="45">
        <v>146.5</v>
      </c>
      <c r="N55" s="45">
        <v>146.5</v>
      </c>
      <c r="O55" s="45">
        <v>146.30000000000001</v>
      </c>
      <c r="P55" s="45">
        <v>146.30000000000001</v>
      </c>
      <c r="Q55" s="45">
        <v>146.30000000000001</v>
      </c>
      <c r="R55" s="45">
        <v>146</v>
      </c>
      <c r="S55" s="45">
        <v>146.19999999999999</v>
      </c>
      <c r="T55" s="45">
        <v>146.19999999999999</v>
      </c>
      <c r="U55" s="45">
        <v>146.19999999999999</v>
      </c>
      <c r="V55" s="45">
        <v>146.19999999999999</v>
      </c>
      <c r="W55" s="45">
        <v>146.19999999999999</v>
      </c>
      <c r="X55" s="45">
        <v>146.19999999999999</v>
      </c>
      <c r="Y55" s="45">
        <v>146.19999999999999</v>
      </c>
      <c r="Z55" s="45">
        <v>146.19999999999999</v>
      </c>
      <c r="AA55" s="45">
        <v>146.19999999999999</v>
      </c>
      <c r="AB55" s="45">
        <v>146.19999999999999</v>
      </c>
      <c r="AC55" s="45">
        <v>146.19999999999999</v>
      </c>
      <c r="AD55" s="45">
        <v>146.19999999999999</v>
      </c>
      <c r="AE55" s="45">
        <v>146.19999999999999</v>
      </c>
      <c r="AF55" s="45">
        <v>146.19999999999999</v>
      </c>
      <c r="AG55" s="51">
        <v>144</v>
      </c>
      <c r="AH55" s="47">
        <f t="shared" si="2"/>
        <v>146.5</v>
      </c>
      <c r="AI55" s="48">
        <f t="shared" si="3"/>
        <v>145.4</v>
      </c>
      <c r="AK55" s="50"/>
    </row>
    <row r="56" spans="1:41" x14ac:dyDescent="0.25">
      <c r="A56" s="53" t="s">
        <v>64</v>
      </c>
      <c r="B56" s="64">
        <v>70.2</v>
      </c>
      <c r="C56" s="64">
        <v>70.2</v>
      </c>
      <c r="D56" s="64">
        <v>70.2</v>
      </c>
      <c r="E56" s="64">
        <v>70.2</v>
      </c>
      <c r="F56" s="64">
        <v>69.599999999999994</v>
      </c>
      <c r="G56" s="64">
        <v>69.900000000000006</v>
      </c>
      <c r="H56" s="64">
        <v>70.599999999999994</v>
      </c>
      <c r="I56" s="64">
        <v>70.3</v>
      </c>
      <c r="J56" s="64">
        <v>71</v>
      </c>
      <c r="K56" s="64">
        <v>71</v>
      </c>
      <c r="L56" s="64">
        <v>71</v>
      </c>
      <c r="M56" s="64">
        <v>70.5</v>
      </c>
      <c r="N56" s="64">
        <v>70.5</v>
      </c>
      <c r="O56" s="64">
        <v>71.599999999999994</v>
      </c>
      <c r="P56" s="64">
        <v>34.200000000000003</v>
      </c>
      <c r="Q56" s="64">
        <v>67.099999999999994</v>
      </c>
      <c r="R56" s="64">
        <v>68.8</v>
      </c>
      <c r="S56" s="64">
        <v>69.8</v>
      </c>
      <c r="T56" s="64">
        <v>69.8</v>
      </c>
      <c r="U56" s="64">
        <v>61.4</v>
      </c>
      <c r="V56" s="64">
        <v>61.4</v>
      </c>
      <c r="W56" s="64">
        <v>70.2</v>
      </c>
      <c r="X56" s="64">
        <v>70.2</v>
      </c>
      <c r="Y56" s="45">
        <v>70.2</v>
      </c>
      <c r="Z56" s="45">
        <v>70.2</v>
      </c>
      <c r="AA56" s="45">
        <v>70.2</v>
      </c>
      <c r="AB56" s="45">
        <v>70.2</v>
      </c>
      <c r="AC56" s="45">
        <v>70.2</v>
      </c>
      <c r="AD56" s="45">
        <v>70.2</v>
      </c>
      <c r="AE56" s="45">
        <v>70.2</v>
      </c>
      <c r="AF56" s="45">
        <v>70.2</v>
      </c>
      <c r="AG56" s="54">
        <v>70</v>
      </c>
      <c r="AH56" s="47">
        <f t="shared" si="2"/>
        <v>71.599999999999994</v>
      </c>
      <c r="AI56" s="48">
        <f t="shared" si="3"/>
        <v>34.200000000000003</v>
      </c>
      <c r="AK56" s="50"/>
    </row>
    <row r="57" spans="1:41" x14ac:dyDescent="0.25">
      <c r="A57" s="53" t="s">
        <v>65</v>
      </c>
      <c r="B57" s="64">
        <v>67.099999999999994</v>
      </c>
      <c r="C57" s="64">
        <v>67.099999999999994</v>
      </c>
      <c r="D57" s="64">
        <v>67.099999999999994</v>
      </c>
      <c r="E57" s="64">
        <v>67.099999999999994</v>
      </c>
      <c r="F57" s="64">
        <v>65.8</v>
      </c>
      <c r="G57" s="64">
        <v>66</v>
      </c>
      <c r="H57" s="64">
        <v>65.8</v>
      </c>
      <c r="I57" s="64">
        <v>65.900000000000006</v>
      </c>
      <c r="J57" s="64">
        <v>66.3</v>
      </c>
      <c r="K57" s="64">
        <v>66.3</v>
      </c>
      <c r="L57" s="64">
        <v>66.3</v>
      </c>
      <c r="M57" s="64">
        <v>64.2</v>
      </c>
      <c r="N57" s="64">
        <v>66.8</v>
      </c>
      <c r="O57" s="64">
        <v>66.5</v>
      </c>
      <c r="P57" s="64">
        <v>66.7</v>
      </c>
      <c r="Q57" s="64">
        <v>66.7</v>
      </c>
      <c r="R57" s="64">
        <v>68</v>
      </c>
      <c r="S57" s="64">
        <v>68</v>
      </c>
      <c r="T57" s="64">
        <v>68</v>
      </c>
      <c r="U57" s="64">
        <v>68</v>
      </c>
      <c r="V57" s="64">
        <v>68</v>
      </c>
      <c r="W57" s="64">
        <v>68</v>
      </c>
      <c r="X57" s="64">
        <v>68</v>
      </c>
      <c r="Y57" s="45">
        <v>68</v>
      </c>
      <c r="Z57" s="45">
        <v>68</v>
      </c>
      <c r="AA57" s="45">
        <v>68</v>
      </c>
      <c r="AB57" s="45">
        <v>68</v>
      </c>
      <c r="AC57" s="45">
        <v>68</v>
      </c>
      <c r="AD57" s="45">
        <v>68</v>
      </c>
      <c r="AE57" s="45">
        <v>68</v>
      </c>
      <c r="AF57" s="45">
        <v>68</v>
      </c>
      <c r="AG57" s="54">
        <v>69</v>
      </c>
      <c r="AH57" s="47">
        <f t="shared" si="2"/>
        <v>68</v>
      </c>
      <c r="AI57" s="48">
        <f t="shared" si="3"/>
        <v>64.2</v>
      </c>
      <c r="AK57" s="50"/>
    </row>
    <row r="58" spans="1:41" x14ac:dyDescent="0.25">
      <c r="A58" s="53" t="s">
        <v>66</v>
      </c>
      <c r="B58" s="64">
        <v>61.7</v>
      </c>
      <c r="C58" s="64">
        <v>61.7</v>
      </c>
      <c r="D58" s="64">
        <v>61.7</v>
      </c>
      <c r="E58" s="64">
        <v>61.7</v>
      </c>
      <c r="F58" s="56">
        <v>61.2</v>
      </c>
      <c r="G58" s="56">
        <v>61.2</v>
      </c>
      <c r="H58" s="56">
        <v>61.2</v>
      </c>
      <c r="I58" s="56">
        <v>61.2</v>
      </c>
      <c r="J58" s="56">
        <v>61.2</v>
      </c>
      <c r="K58" s="56">
        <v>61.2</v>
      </c>
      <c r="L58" s="56">
        <v>61.2</v>
      </c>
      <c r="M58" s="64">
        <v>59</v>
      </c>
      <c r="N58" s="64">
        <v>59</v>
      </c>
      <c r="O58" s="64">
        <v>59</v>
      </c>
      <c r="P58" s="64">
        <v>59</v>
      </c>
      <c r="Q58" s="64">
        <v>59</v>
      </c>
      <c r="R58" s="64">
        <v>60.2</v>
      </c>
      <c r="S58" s="64">
        <v>60.2</v>
      </c>
      <c r="T58" s="64">
        <v>60.2</v>
      </c>
      <c r="U58" s="64">
        <v>60.2</v>
      </c>
      <c r="V58" s="64">
        <v>60.2</v>
      </c>
      <c r="W58" s="64">
        <v>60.2</v>
      </c>
      <c r="X58" s="64">
        <v>60.2</v>
      </c>
      <c r="Y58" s="45">
        <v>60.2</v>
      </c>
      <c r="Z58" s="45">
        <v>60.2</v>
      </c>
      <c r="AA58" s="45">
        <v>60.2</v>
      </c>
      <c r="AB58" s="45">
        <v>60.2</v>
      </c>
      <c r="AC58" s="45">
        <v>60.2</v>
      </c>
      <c r="AD58" s="45">
        <v>60.2</v>
      </c>
      <c r="AE58" s="45">
        <v>60.2</v>
      </c>
      <c r="AF58" s="45">
        <v>60.2</v>
      </c>
      <c r="AG58" s="54">
        <v>60</v>
      </c>
      <c r="AH58" s="47">
        <f t="shared" si="2"/>
        <v>61.7</v>
      </c>
      <c r="AI58" s="48">
        <f t="shared" si="3"/>
        <v>59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30</v>
      </c>
      <c r="F59" s="56">
        <v>26</v>
      </c>
      <c r="G59" s="56">
        <v>26</v>
      </c>
      <c r="H59" s="56">
        <v>22</v>
      </c>
      <c r="I59" s="56">
        <v>22</v>
      </c>
      <c r="J59" s="56">
        <v>15</v>
      </c>
      <c r="K59" s="56">
        <v>15</v>
      </c>
      <c r="L59" s="56">
        <v>15</v>
      </c>
      <c r="M59" s="64">
        <v>15</v>
      </c>
      <c r="N59" s="64">
        <v>15</v>
      </c>
      <c r="O59" s="64">
        <v>15</v>
      </c>
      <c r="P59" s="64">
        <v>15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15</v>
      </c>
      <c r="W59" s="64">
        <v>15</v>
      </c>
      <c r="X59" s="64">
        <v>30</v>
      </c>
      <c r="Y59" s="45">
        <v>30</v>
      </c>
      <c r="Z59" s="45">
        <v>30</v>
      </c>
      <c r="AA59" s="45">
        <v>30</v>
      </c>
      <c r="AB59" s="45">
        <v>30</v>
      </c>
      <c r="AC59" s="45">
        <v>30</v>
      </c>
      <c r="AD59" s="45">
        <v>30</v>
      </c>
      <c r="AE59" s="45">
        <v>30</v>
      </c>
      <c r="AF59" s="45">
        <v>30</v>
      </c>
      <c r="AG59" s="54">
        <v>30</v>
      </c>
      <c r="AH59" s="47">
        <f t="shared" si="2"/>
        <v>30</v>
      </c>
      <c r="AI59" s="48">
        <f t="shared" si="3"/>
        <v>15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4.7</v>
      </c>
      <c r="N60" s="64">
        <v>10.3</v>
      </c>
      <c r="O60" s="64">
        <v>13.4</v>
      </c>
      <c r="P60" s="64">
        <v>15.7</v>
      </c>
      <c r="Q60" s="64">
        <v>15</v>
      </c>
      <c r="R60" s="64">
        <v>14.3</v>
      </c>
      <c r="S60" s="64">
        <v>12</v>
      </c>
      <c r="T60" s="64">
        <v>8.5</v>
      </c>
      <c r="U60" s="64">
        <v>3.5</v>
      </c>
      <c r="V60" s="64">
        <v>1.2</v>
      </c>
      <c r="W60" s="64">
        <v>0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15.7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9.3000000000000007</v>
      </c>
      <c r="C63" s="64">
        <v>9.3000000000000007</v>
      </c>
      <c r="D63" s="64">
        <v>9.3000000000000007</v>
      </c>
      <c r="E63" s="64">
        <v>9.3000000000000007</v>
      </c>
      <c r="F63" s="64">
        <v>9.3000000000000007</v>
      </c>
      <c r="G63" s="64">
        <v>9.3000000000000007</v>
      </c>
      <c r="H63" s="64">
        <v>9.3000000000000007</v>
      </c>
      <c r="I63" s="64">
        <v>9.3000000000000007</v>
      </c>
      <c r="J63" s="64">
        <v>9.3000000000000007</v>
      </c>
      <c r="K63" s="64">
        <v>9.3000000000000007</v>
      </c>
      <c r="L63" s="64">
        <v>9.3000000000000007</v>
      </c>
      <c r="M63" s="64">
        <v>9.1999999999999993</v>
      </c>
      <c r="N63" s="64">
        <v>9.1999999999999993</v>
      </c>
      <c r="O63" s="64">
        <v>9.1999999999999993</v>
      </c>
      <c r="P63" s="64">
        <v>9.1999999999999993</v>
      </c>
      <c r="Q63" s="64">
        <v>9.1999999999999993</v>
      </c>
      <c r="R63" s="64">
        <v>9.1999999999999993</v>
      </c>
      <c r="S63" s="64">
        <v>9.1999999999999993</v>
      </c>
      <c r="T63" s="64">
        <v>9.1999999999999993</v>
      </c>
      <c r="U63" s="64">
        <v>9.4</v>
      </c>
      <c r="V63" s="64">
        <v>9.4</v>
      </c>
      <c r="W63" s="64">
        <v>9.4</v>
      </c>
      <c r="X63" s="64">
        <v>9.4</v>
      </c>
      <c r="Y63" s="64">
        <v>9.4</v>
      </c>
      <c r="Z63" s="64">
        <v>9.4</v>
      </c>
      <c r="AA63" s="64">
        <v>9.4</v>
      </c>
      <c r="AB63" s="64">
        <v>9.4</v>
      </c>
      <c r="AC63" s="64">
        <v>9.4</v>
      </c>
      <c r="AD63" s="64">
        <v>9.4</v>
      </c>
      <c r="AE63" s="64">
        <v>9.4</v>
      </c>
      <c r="AF63" s="64">
        <v>9.4</v>
      </c>
      <c r="AG63" s="54">
        <v>14.1</v>
      </c>
      <c r="AH63" s="47">
        <f t="shared" si="2"/>
        <v>9.4</v>
      </c>
      <c r="AI63" s="48">
        <f t="shared" si="3"/>
        <v>9.1999999999999993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10.1</v>
      </c>
      <c r="C64" s="64">
        <v>14.3</v>
      </c>
      <c r="D64" s="64">
        <v>14.3</v>
      </c>
      <c r="E64" s="64">
        <v>14.3</v>
      </c>
      <c r="F64" s="64">
        <v>14.3</v>
      </c>
      <c r="G64" s="64">
        <v>14.3</v>
      </c>
      <c r="H64" s="64">
        <v>14.3</v>
      </c>
      <c r="I64" s="64">
        <v>14.3</v>
      </c>
      <c r="J64" s="64">
        <v>14.3</v>
      </c>
      <c r="K64" s="64">
        <v>14.3</v>
      </c>
      <c r="L64" s="64">
        <v>14.3</v>
      </c>
      <c r="M64" s="64">
        <v>14.2</v>
      </c>
      <c r="N64" s="64">
        <v>14.2</v>
      </c>
      <c r="O64" s="64">
        <v>14.2</v>
      </c>
      <c r="P64" s="64">
        <v>14.2</v>
      </c>
      <c r="Q64" s="64">
        <v>14.2</v>
      </c>
      <c r="R64" s="64">
        <v>14.2</v>
      </c>
      <c r="S64" s="64">
        <v>14.2</v>
      </c>
      <c r="T64" s="64">
        <v>14.2</v>
      </c>
      <c r="U64" s="64">
        <v>14.2</v>
      </c>
      <c r="V64" s="64">
        <v>14.2</v>
      </c>
      <c r="W64" s="64">
        <v>14.2</v>
      </c>
      <c r="X64" s="64">
        <v>14.2</v>
      </c>
      <c r="Y64" s="64">
        <v>10</v>
      </c>
      <c r="Z64" s="64">
        <v>10</v>
      </c>
      <c r="AA64" s="64">
        <v>10</v>
      </c>
      <c r="AB64" s="64">
        <v>10</v>
      </c>
      <c r="AC64" s="64">
        <v>10</v>
      </c>
      <c r="AD64" s="64">
        <v>10</v>
      </c>
      <c r="AE64" s="64">
        <v>10</v>
      </c>
      <c r="AF64" s="64">
        <v>10</v>
      </c>
      <c r="AG64" s="54">
        <v>14</v>
      </c>
      <c r="AH64" s="47">
        <f t="shared" si="2"/>
        <v>14.3</v>
      </c>
      <c r="AI64" s="48">
        <f t="shared" si="3"/>
        <v>10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4">SUM(B55:B67)</f>
        <v>433.44000000000005</v>
      </c>
      <c r="C68" s="60">
        <f t="shared" si="14"/>
        <v>437.64000000000004</v>
      </c>
      <c r="D68" s="60">
        <f t="shared" si="14"/>
        <v>437.64000000000004</v>
      </c>
      <c r="E68" s="60">
        <f t="shared" si="14"/>
        <v>437.64000000000004</v>
      </c>
      <c r="F68" s="60">
        <f t="shared" si="14"/>
        <v>430.34000000000003</v>
      </c>
      <c r="G68" s="60">
        <f t="shared" si="14"/>
        <v>431.04</v>
      </c>
      <c r="H68" s="60">
        <f t="shared" si="14"/>
        <v>427.94</v>
      </c>
      <c r="I68" s="60">
        <f t="shared" si="14"/>
        <v>427.64000000000004</v>
      </c>
      <c r="J68" s="60">
        <f t="shared" si="14"/>
        <v>421.84000000000003</v>
      </c>
      <c r="K68" s="60">
        <f t="shared" si="14"/>
        <v>421.84000000000003</v>
      </c>
      <c r="L68" s="60">
        <f t="shared" si="14"/>
        <v>421.84000000000003</v>
      </c>
      <c r="M68" s="60">
        <f t="shared" si="14"/>
        <v>422.03999999999996</v>
      </c>
      <c r="N68" s="60">
        <f t="shared" si="14"/>
        <v>430.24</v>
      </c>
      <c r="O68" s="60">
        <f t="shared" si="14"/>
        <v>433.93999999999994</v>
      </c>
      <c r="P68" s="60">
        <f t="shared" si="14"/>
        <v>399.03999999999996</v>
      </c>
      <c r="Q68" s="60">
        <f t="shared" si="14"/>
        <v>431.24</v>
      </c>
      <c r="R68" s="60">
        <f t="shared" si="14"/>
        <v>434.44</v>
      </c>
      <c r="S68" s="60">
        <f t="shared" ref="S68:T68" si="15">SUM(S55:S67)</f>
        <v>433.34</v>
      </c>
      <c r="T68" s="60">
        <f t="shared" si="15"/>
        <v>429.84</v>
      </c>
      <c r="U68" s="60">
        <f t="shared" ref="U68:V68" si="16">SUM(U55:U67)</f>
        <v>416.64</v>
      </c>
      <c r="V68" s="60">
        <f t="shared" si="16"/>
        <v>414.34</v>
      </c>
      <c r="W68" s="60">
        <f t="shared" ref="W68:Y68" si="17">SUM(W55:W67)</f>
        <v>421.93999999999994</v>
      </c>
      <c r="X68" s="60">
        <f t="shared" si="17"/>
        <v>436.93999999999994</v>
      </c>
      <c r="Y68" s="60">
        <f t="shared" si="17"/>
        <v>432.73999999999995</v>
      </c>
      <c r="Z68" s="60">
        <f t="shared" ref="Z68:AA68" si="18">SUM(Z55:Z67)</f>
        <v>432.73999999999995</v>
      </c>
      <c r="AA68" s="60">
        <f t="shared" si="18"/>
        <v>432.73999999999995</v>
      </c>
      <c r="AB68" s="60">
        <f t="shared" si="14"/>
        <v>432.73999999999995</v>
      </c>
      <c r="AC68" s="60">
        <f t="shared" si="14"/>
        <v>432.73999999999995</v>
      </c>
      <c r="AD68" s="60">
        <f t="shared" si="14"/>
        <v>432.73999999999995</v>
      </c>
      <c r="AE68" s="60">
        <f t="shared" si="14"/>
        <v>432.73999999999995</v>
      </c>
      <c r="AF68" s="60">
        <f t="shared" si="14"/>
        <v>432.73999999999995</v>
      </c>
      <c r="AG68" s="61">
        <f t="shared" si="14"/>
        <v>489.91</v>
      </c>
      <c r="AH68" s="47">
        <f t="shared" si="2"/>
        <v>437.64000000000004</v>
      </c>
      <c r="AI68" s="48">
        <f t="shared" si="3"/>
        <v>399.03999999999996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14</v>
      </c>
      <c r="N69" s="45">
        <v>10</v>
      </c>
      <c r="O69" s="45">
        <v>10</v>
      </c>
      <c r="P69" s="45">
        <v>13.8</v>
      </c>
      <c r="Q69" s="45">
        <v>10</v>
      </c>
      <c r="R69" s="45">
        <v>10.6</v>
      </c>
      <c r="S69" s="45">
        <v>10.6</v>
      </c>
      <c r="T69" s="45">
        <v>0</v>
      </c>
      <c r="U69" s="45">
        <v>0</v>
      </c>
      <c r="V69" s="45">
        <v>0</v>
      </c>
      <c r="W69" s="45">
        <v>29.4</v>
      </c>
      <c r="X69" s="45">
        <v>51.9</v>
      </c>
      <c r="Y69" s="45">
        <v>60.1</v>
      </c>
      <c r="Z69" s="45">
        <v>39.1</v>
      </c>
      <c r="AA69" s="45">
        <v>30</v>
      </c>
      <c r="AB69" s="45">
        <v>20</v>
      </c>
      <c r="AC69" s="45">
        <v>19.899999999999999</v>
      </c>
      <c r="AD69" s="45">
        <v>10</v>
      </c>
      <c r="AE69" s="45">
        <v>0</v>
      </c>
      <c r="AF69" s="45">
        <v>0</v>
      </c>
      <c r="AG69" s="51">
        <v>60</v>
      </c>
      <c r="AH69" s="47">
        <f t="shared" si="2"/>
        <v>60.1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45"/>
      <c r="E70" s="45"/>
      <c r="F70" s="64"/>
      <c r="G70" s="64"/>
      <c r="H70" s="64"/>
      <c r="I70" s="64"/>
      <c r="J70" s="64"/>
      <c r="K70" s="64"/>
      <c r="L70" s="64"/>
      <c r="M70" s="64">
        <v>4</v>
      </c>
      <c r="N70" s="64">
        <v>3.8</v>
      </c>
      <c r="O70" s="64">
        <v>3.8</v>
      </c>
      <c r="P70" s="64">
        <v>6.5</v>
      </c>
      <c r="Q70" s="64">
        <v>4.0999999999999996</v>
      </c>
      <c r="R70" s="64">
        <v>4.8</v>
      </c>
      <c r="S70" s="64">
        <v>4.2</v>
      </c>
      <c r="T70" s="64">
        <v>0</v>
      </c>
      <c r="U70" s="64">
        <v>0</v>
      </c>
      <c r="V70" s="64">
        <v>0</v>
      </c>
      <c r="W70" s="64">
        <v>16.399999999999999</v>
      </c>
      <c r="X70" s="64">
        <v>20.7</v>
      </c>
      <c r="Y70" s="64">
        <v>30.2</v>
      </c>
      <c r="Z70" s="64">
        <v>18.399999999999999</v>
      </c>
      <c r="AA70" s="64">
        <v>26.8</v>
      </c>
      <c r="AB70" s="64">
        <v>9.3000000000000007</v>
      </c>
      <c r="AC70" s="64">
        <v>10.4</v>
      </c>
      <c r="AD70" s="64">
        <v>6</v>
      </c>
      <c r="AE70" s="45">
        <v>0</v>
      </c>
      <c r="AF70" s="45">
        <v>0</v>
      </c>
      <c r="AG70" s="54">
        <v>32</v>
      </c>
      <c r="AH70" s="47">
        <f t="shared" si="2"/>
        <v>30.2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45"/>
      <c r="E71" s="45"/>
      <c r="F71" s="66"/>
      <c r="G71" s="66"/>
      <c r="H71" s="66"/>
      <c r="I71" s="66"/>
      <c r="J71" s="66"/>
      <c r="K71" s="66"/>
      <c r="L71" s="66"/>
      <c r="M71" s="66">
        <v>2</v>
      </c>
      <c r="N71" s="66">
        <v>1.4</v>
      </c>
      <c r="O71" s="66">
        <v>1.4</v>
      </c>
      <c r="P71" s="66">
        <v>2.4</v>
      </c>
      <c r="Q71" s="66">
        <v>1.5</v>
      </c>
      <c r="R71" s="66">
        <v>1.8</v>
      </c>
      <c r="S71" s="66">
        <v>1.5</v>
      </c>
      <c r="T71" s="66">
        <v>0</v>
      </c>
      <c r="U71" s="66">
        <v>0</v>
      </c>
      <c r="V71" s="66">
        <v>0</v>
      </c>
      <c r="W71" s="66">
        <v>6</v>
      </c>
      <c r="X71" s="66">
        <v>7.6</v>
      </c>
      <c r="Y71" s="66">
        <v>11</v>
      </c>
      <c r="Z71" s="66">
        <v>6.7</v>
      </c>
      <c r="AA71" s="66">
        <v>9.6999999999999993</v>
      </c>
      <c r="AB71" s="66">
        <v>3.4</v>
      </c>
      <c r="AC71" s="66">
        <v>3.8</v>
      </c>
      <c r="AD71" s="66">
        <v>2</v>
      </c>
      <c r="AE71" s="45">
        <v>0</v>
      </c>
      <c r="AF71" s="45">
        <v>0</v>
      </c>
      <c r="AG71" s="67">
        <v>14</v>
      </c>
      <c r="AH71" s="47">
        <f t="shared" si="2"/>
        <v>11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19">M69+M70+M71</f>
        <v>20</v>
      </c>
      <c r="N72" s="60">
        <f t="shared" si="19"/>
        <v>15.200000000000001</v>
      </c>
      <c r="O72" s="60">
        <f t="shared" si="19"/>
        <v>15.200000000000001</v>
      </c>
      <c r="P72" s="60">
        <f t="shared" si="19"/>
        <v>22.7</v>
      </c>
      <c r="Q72" s="60">
        <f t="shared" si="19"/>
        <v>15.6</v>
      </c>
      <c r="R72" s="60">
        <f t="shared" si="19"/>
        <v>17.2</v>
      </c>
      <c r="S72" s="60">
        <f t="shared" ref="S72:T72" si="20">S69+S70+S71</f>
        <v>16.3</v>
      </c>
      <c r="T72" s="60">
        <f t="shared" si="20"/>
        <v>0</v>
      </c>
      <c r="U72" s="60">
        <f t="shared" ref="U72:V72" si="21">U69+U70+U71</f>
        <v>0</v>
      </c>
      <c r="V72" s="60">
        <f t="shared" si="21"/>
        <v>0</v>
      </c>
      <c r="W72" s="60">
        <f t="shared" ref="W72:Y72" si="22">W69+W70+W71</f>
        <v>51.8</v>
      </c>
      <c r="X72" s="60">
        <f t="shared" si="22"/>
        <v>80.199999999999989</v>
      </c>
      <c r="Y72" s="60">
        <f t="shared" si="22"/>
        <v>101.3</v>
      </c>
      <c r="Z72" s="60">
        <f t="shared" ref="Z72:AA72" si="23">Z69+Z70+Z71</f>
        <v>64.2</v>
      </c>
      <c r="AA72" s="60">
        <f t="shared" si="23"/>
        <v>66.5</v>
      </c>
      <c r="AB72" s="60">
        <f t="shared" si="19"/>
        <v>32.700000000000003</v>
      </c>
      <c r="AC72" s="60">
        <f t="shared" si="19"/>
        <v>34.099999999999994</v>
      </c>
      <c r="AD72" s="60">
        <f t="shared" si="19"/>
        <v>18</v>
      </c>
      <c r="AE72" s="60">
        <f t="shared" si="19"/>
        <v>0</v>
      </c>
      <c r="AF72" s="60">
        <f t="shared" si="19"/>
        <v>0</v>
      </c>
      <c r="AG72" s="61">
        <f>SUM(AG69:AG71)</f>
        <v>106</v>
      </c>
      <c r="AH72" s="47">
        <f t="shared" si="2"/>
        <v>101.3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-67.2</v>
      </c>
      <c r="C73" s="45">
        <v>-68.599999999999994</v>
      </c>
      <c r="D73" s="45">
        <v>-69.2</v>
      </c>
      <c r="E73" s="45">
        <v>-70</v>
      </c>
      <c r="F73" s="45">
        <v>-68.5</v>
      </c>
      <c r="G73" s="45">
        <v>-68.5</v>
      </c>
      <c r="H73" s="45">
        <v>-58.1</v>
      </c>
      <c r="I73" s="45">
        <v>-69</v>
      </c>
      <c r="J73" s="45">
        <v>-65.2</v>
      </c>
      <c r="K73" s="45">
        <v>-66.599999999999994</v>
      </c>
      <c r="L73" s="45">
        <v>-62.6</v>
      </c>
      <c r="M73" s="45">
        <v>-58.4</v>
      </c>
      <c r="N73" s="45">
        <v>-58.9</v>
      </c>
      <c r="O73" s="45">
        <v>-52.5</v>
      </c>
      <c r="P73" s="45">
        <v>-50</v>
      </c>
      <c r="Q73" s="45">
        <v>-44</v>
      </c>
      <c r="R73" s="45">
        <v>-45</v>
      </c>
      <c r="S73" s="45">
        <v>-46.6</v>
      </c>
      <c r="T73" s="45">
        <v>-43.6</v>
      </c>
      <c r="U73" s="45">
        <v>-54.9</v>
      </c>
      <c r="V73" s="45">
        <v>-42.5</v>
      </c>
      <c r="W73" s="45">
        <v>-41.8</v>
      </c>
      <c r="X73" s="45">
        <v>-53.2</v>
      </c>
      <c r="Y73" s="45">
        <v>6.8</v>
      </c>
      <c r="Z73" s="45">
        <v>4.7</v>
      </c>
      <c r="AA73" s="45">
        <v>0</v>
      </c>
      <c r="AB73" s="45">
        <v>10</v>
      </c>
      <c r="AC73" s="45">
        <v>7</v>
      </c>
      <c r="AD73" s="45">
        <v>7</v>
      </c>
      <c r="AE73" s="45">
        <v>-41</v>
      </c>
      <c r="AF73" s="45">
        <v>-40</v>
      </c>
      <c r="AG73" s="51"/>
      <c r="AH73" s="47">
        <f t="shared" si="2"/>
        <v>10</v>
      </c>
      <c r="AI73" s="48">
        <f t="shared" si="3"/>
        <v>-70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>
        <v>0</v>
      </c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>
        <v>0</v>
      </c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-581</v>
      </c>
      <c r="C75" s="64">
        <v>-597.79999999999995</v>
      </c>
      <c r="D75" s="64">
        <v>-611.79999999999995</v>
      </c>
      <c r="E75" s="64">
        <v>-622.29999999999995</v>
      </c>
      <c r="F75" s="64">
        <v>-625.9</v>
      </c>
      <c r="G75" s="64">
        <v>-607</v>
      </c>
      <c r="H75" s="64">
        <v>-605</v>
      </c>
      <c r="I75" s="64">
        <v>-582</v>
      </c>
      <c r="J75" s="64">
        <v>-648</v>
      </c>
      <c r="K75" s="64">
        <v>-622.5</v>
      </c>
      <c r="L75" s="64">
        <v>-532</v>
      </c>
      <c r="M75" s="64">
        <v>-613.9</v>
      </c>
      <c r="N75" s="64">
        <v>-625.9</v>
      </c>
      <c r="O75" s="64">
        <v>-573.20000000000005</v>
      </c>
      <c r="P75" s="64">
        <v>-586.29999999999995</v>
      </c>
      <c r="Q75" s="64">
        <v>-599.20000000000005</v>
      </c>
      <c r="R75" s="64">
        <v>-619.6</v>
      </c>
      <c r="S75" s="64">
        <v>-602.9</v>
      </c>
      <c r="T75" s="64">
        <v>-614.9</v>
      </c>
      <c r="U75" s="64">
        <v>-608.9</v>
      </c>
      <c r="V75" s="64">
        <v>-582.9</v>
      </c>
      <c r="W75" s="64">
        <v>-557.9</v>
      </c>
      <c r="X75" s="64">
        <v>-495.4</v>
      </c>
      <c r="Y75" s="64">
        <v>-529.9</v>
      </c>
      <c r="Z75" s="64">
        <v>-532.5</v>
      </c>
      <c r="AA75" s="64">
        <v>-528.5</v>
      </c>
      <c r="AB75" s="64">
        <v>-525</v>
      </c>
      <c r="AC75" s="64">
        <v>-560.29999999999995</v>
      </c>
      <c r="AD75" s="64">
        <v>-560</v>
      </c>
      <c r="AE75" s="64">
        <v>-600</v>
      </c>
      <c r="AF75" s="64">
        <v>-581</v>
      </c>
      <c r="AG75" s="74"/>
      <c r="AH75" s="47">
        <f t="shared" si="2"/>
        <v>-495.4</v>
      </c>
      <c r="AI75" s="48">
        <f t="shared" si="3"/>
        <v>-648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>
        <v>0</v>
      </c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>
        <v>0</v>
      </c>
      <c r="AD77" s="45"/>
      <c r="AE77" s="45"/>
      <c r="AF77" s="45"/>
      <c r="AG77" s="74"/>
      <c r="AH77" s="47">
        <f t="shared" ref="AH77:AH120" si="24">MAX(B77:AF77)</f>
        <v>0</v>
      </c>
      <c r="AI77" s="48">
        <f t="shared" ref="AI77:AI120" si="25">MIN(B77:AF77)</f>
        <v>0</v>
      </c>
      <c r="AK77" s="50"/>
    </row>
    <row r="78" spans="1:40" x14ac:dyDescent="0.25">
      <c r="A78" s="53" t="s">
        <v>86</v>
      </c>
      <c r="B78" s="45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>
        <v>0</v>
      </c>
      <c r="AD78" s="76"/>
      <c r="AE78" s="76"/>
      <c r="AF78" s="76"/>
      <c r="AG78" s="74"/>
      <c r="AH78" s="47">
        <f t="shared" si="24"/>
        <v>0</v>
      </c>
      <c r="AI78" s="48">
        <f t="shared" si="25"/>
        <v>0</v>
      </c>
      <c r="AK78" s="50"/>
    </row>
    <row r="79" spans="1:40" ht="15.75" thickBot="1" x14ac:dyDescent="0.3">
      <c r="A79" s="53" t="s">
        <v>87</v>
      </c>
      <c r="B79" s="45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>
        <v>0</v>
      </c>
      <c r="AD79" s="76"/>
      <c r="AE79" s="76"/>
      <c r="AF79" s="76"/>
      <c r="AG79" s="74"/>
      <c r="AH79" s="47">
        <f t="shared" si="24"/>
        <v>0</v>
      </c>
      <c r="AI79" s="48">
        <f t="shared" si="25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>
        <v>0</v>
      </c>
      <c r="AD80" s="76"/>
      <c r="AE80" s="76"/>
      <c r="AF80" s="76"/>
      <c r="AG80" s="74"/>
      <c r="AH80" s="47">
        <f t="shared" si="24"/>
        <v>0</v>
      </c>
      <c r="AI80" s="48">
        <f t="shared" si="25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>
        <v>0</v>
      </c>
      <c r="AD81" s="76"/>
      <c r="AE81" s="76"/>
      <c r="AF81" s="76"/>
      <c r="AG81" s="74"/>
      <c r="AH81" s="47">
        <f t="shared" si="24"/>
        <v>0</v>
      </c>
      <c r="AI81" s="48">
        <f t="shared" si="25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>
        <v>0</v>
      </c>
      <c r="AD82" s="76"/>
      <c r="AE82" s="76"/>
      <c r="AF82" s="76"/>
      <c r="AG82" s="84"/>
      <c r="AH82" s="47">
        <f t="shared" si="24"/>
        <v>0</v>
      </c>
      <c r="AI82" s="48">
        <f t="shared" si="25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>
        <v>0</v>
      </c>
      <c r="AD83" s="76"/>
      <c r="AE83" s="76"/>
      <c r="AF83" s="76"/>
      <c r="AG83" s="84"/>
      <c r="AH83" s="47">
        <f t="shared" si="24"/>
        <v>0</v>
      </c>
      <c r="AI83" s="48">
        <f t="shared" si="25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26">SUMIF(B73:B83,"&gt;0")</f>
        <v>0</v>
      </c>
      <c r="C84" s="60">
        <f t="shared" si="26"/>
        <v>0</v>
      </c>
      <c r="D84" s="60">
        <f t="shared" si="26"/>
        <v>0</v>
      </c>
      <c r="E84" s="60">
        <f t="shared" si="26"/>
        <v>0</v>
      </c>
      <c r="F84" s="60">
        <f t="shared" si="26"/>
        <v>0</v>
      </c>
      <c r="G84" s="60">
        <f t="shared" si="26"/>
        <v>0</v>
      </c>
      <c r="H84" s="60">
        <f t="shared" si="26"/>
        <v>0</v>
      </c>
      <c r="I84" s="60">
        <f t="shared" si="26"/>
        <v>0</v>
      </c>
      <c r="J84" s="60">
        <f t="shared" si="26"/>
        <v>0</v>
      </c>
      <c r="K84" s="60">
        <f t="shared" si="26"/>
        <v>0</v>
      </c>
      <c r="L84" s="60">
        <f t="shared" si="26"/>
        <v>0</v>
      </c>
      <c r="M84" s="60">
        <f t="shared" si="26"/>
        <v>0</v>
      </c>
      <c r="N84" s="60">
        <f t="shared" si="26"/>
        <v>0</v>
      </c>
      <c r="O84" s="60">
        <f t="shared" si="26"/>
        <v>0</v>
      </c>
      <c r="P84" s="60">
        <f t="shared" si="26"/>
        <v>0</v>
      </c>
      <c r="Q84" s="60">
        <f t="shared" si="26"/>
        <v>0</v>
      </c>
      <c r="R84" s="60">
        <f t="shared" si="26"/>
        <v>0</v>
      </c>
      <c r="S84" s="60">
        <f t="shared" ref="S84:T84" si="27">SUMIF(S73:S83,"&gt;0")</f>
        <v>0</v>
      </c>
      <c r="T84" s="60">
        <f t="shared" si="27"/>
        <v>0</v>
      </c>
      <c r="U84" s="60">
        <f t="shared" ref="U84:V84" si="28">SUMIF(U73:U83,"&gt;0")</f>
        <v>0</v>
      </c>
      <c r="V84" s="60">
        <f t="shared" si="28"/>
        <v>0</v>
      </c>
      <c r="W84" s="60">
        <f t="shared" ref="W84:Y84" si="29">SUMIF(W73:W83,"&gt;0")</f>
        <v>0</v>
      </c>
      <c r="X84" s="60">
        <f t="shared" si="29"/>
        <v>0</v>
      </c>
      <c r="Y84" s="60">
        <f t="shared" si="29"/>
        <v>6.8</v>
      </c>
      <c r="Z84" s="60">
        <f t="shared" ref="Z84:AA84" si="30">SUMIF(Z73:Z83,"&gt;0")</f>
        <v>4.7</v>
      </c>
      <c r="AA84" s="60">
        <f t="shared" si="30"/>
        <v>0</v>
      </c>
      <c r="AB84" s="60">
        <f t="shared" si="26"/>
        <v>10</v>
      </c>
      <c r="AC84" s="60">
        <f t="shared" si="26"/>
        <v>7</v>
      </c>
      <c r="AD84" s="60">
        <f t="shared" si="26"/>
        <v>7</v>
      </c>
      <c r="AE84" s="60">
        <f t="shared" si="26"/>
        <v>0</v>
      </c>
      <c r="AF84" s="60">
        <f t="shared" si="26"/>
        <v>0</v>
      </c>
      <c r="AG84" s="87">
        <f>SUM(AG73:AG83)</f>
        <v>0</v>
      </c>
      <c r="AH84" s="47">
        <f t="shared" si="24"/>
        <v>10</v>
      </c>
      <c r="AI84" s="48">
        <f t="shared" si="25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24"/>
        <v>0</v>
      </c>
      <c r="AI85" s="48">
        <f t="shared" si="25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24"/>
        <v>0</v>
      </c>
      <c r="AI86" s="48">
        <f t="shared" si="25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24"/>
        <v>0</v>
      </c>
      <c r="AI87" s="48">
        <f t="shared" si="25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24"/>
        <v>0</v>
      </c>
      <c r="AI88" s="48">
        <f t="shared" si="25"/>
        <v>0</v>
      </c>
    </row>
    <row r="89" spans="1:40" ht="15.75" thickBot="1" x14ac:dyDescent="0.3">
      <c r="A89" s="73" t="s">
        <v>100</v>
      </c>
      <c r="B89" s="94">
        <f t="shared" ref="B89:AG89" si="31">B50+B54+B72+B68+B84+B88</f>
        <v>2155.94</v>
      </c>
      <c r="C89" s="94">
        <f t="shared" si="31"/>
        <v>2159.8399999999997</v>
      </c>
      <c r="D89" s="94">
        <f t="shared" si="31"/>
        <v>2134.8399999999997</v>
      </c>
      <c r="E89" s="94">
        <f t="shared" si="31"/>
        <v>2118.8399999999997</v>
      </c>
      <c r="F89" s="94">
        <f t="shared" si="31"/>
        <v>2110.7399999999998</v>
      </c>
      <c r="G89" s="94">
        <f t="shared" si="31"/>
        <v>2092.34</v>
      </c>
      <c r="H89" s="94">
        <f t="shared" si="31"/>
        <v>2116.94</v>
      </c>
      <c r="I89" s="94">
        <f t="shared" si="31"/>
        <v>2082.34</v>
      </c>
      <c r="J89" s="94">
        <f t="shared" si="31"/>
        <v>2149.94</v>
      </c>
      <c r="K89" s="94">
        <f t="shared" si="31"/>
        <v>2164.4500000000003</v>
      </c>
      <c r="L89" s="94">
        <f t="shared" si="31"/>
        <v>2107.4500000000003</v>
      </c>
      <c r="M89" s="94">
        <f t="shared" si="31"/>
        <v>2111.04</v>
      </c>
      <c r="N89" s="94">
        <f t="shared" si="31"/>
        <v>2171.34</v>
      </c>
      <c r="O89" s="94">
        <f t="shared" si="31"/>
        <v>2170.04</v>
      </c>
      <c r="P89" s="94">
        <f t="shared" si="31"/>
        <v>2128.6400000000003</v>
      </c>
      <c r="Q89" s="94">
        <f t="shared" si="31"/>
        <v>2143.7399999999998</v>
      </c>
      <c r="R89" s="94">
        <f t="shared" si="31"/>
        <v>2144.34</v>
      </c>
      <c r="S89" s="94">
        <f t="shared" ref="S89:T89" si="32">S50+S54+S72+S68+S84+S88</f>
        <v>2164.7399999999998</v>
      </c>
      <c r="T89" s="94">
        <f t="shared" si="32"/>
        <v>2144.94</v>
      </c>
      <c r="U89" s="94">
        <f t="shared" ref="U89:V89" si="33">U50+U54+U72+U68+U84+U88</f>
        <v>2129.34</v>
      </c>
      <c r="V89" s="94">
        <f t="shared" si="33"/>
        <v>2111.5400000000004</v>
      </c>
      <c r="W89" s="94">
        <f t="shared" ref="W89:Y89" si="34">W50+W54+W72+W68+W84+W88</f>
        <v>2170.94</v>
      </c>
      <c r="X89" s="94">
        <f t="shared" si="34"/>
        <v>2232.7399999999998</v>
      </c>
      <c r="Y89" s="94">
        <f t="shared" si="34"/>
        <v>2267.84</v>
      </c>
      <c r="Z89" s="94">
        <f t="shared" ref="Z89:AA89" si="35">Z50+Z54+Z72+Z68+Z84+Z88</f>
        <v>2220.64</v>
      </c>
      <c r="AA89" s="94">
        <f t="shared" si="35"/>
        <v>2218.2399999999998</v>
      </c>
      <c r="AB89" s="94">
        <f t="shared" si="31"/>
        <v>2194.44</v>
      </c>
      <c r="AC89" s="94">
        <f t="shared" si="31"/>
        <v>2192.8399999999997</v>
      </c>
      <c r="AD89" s="94">
        <f t="shared" si="31"/>
        <v>2161.54</v>
      </c>
      <c r="AE89" s="94">
        <f t="shared" si="31"/>
        <v>2114.54</v>
      </c>
      <c r="AF89" s="94">
        <f t="shared" si="31"/>
        <v>2111.54</v>
      </c>
      <c r="AG89" s="61">
        <f t="shared" si="31"/>
        <v>2111.5500000000002</v>
      </c>
      <c r="AH89" s="47">
        <f t="shared" si="24"/>
        <v>2267.84</v>
      </c>
      <c r="AI89" s="48">
        <f t="shared" si="25"/>
        <v>2082.34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24"/>
        <v>0</v>
      </c>
      <c r="AI90" s="48">
        <f t="shared" si="25"/>
        <v>0</v>
      </c>
    </row>
    <row r="91" spans="1:40" ht="15.75" thickBot="1" x14ac:dyDescent="0.3">
      <c r="A91" s="73" t="s">
        <v>102</v>
      </c>
      <c r="B91" s="94">
        <f t="shared" ref="B91:AF91" si="36">B89+B90</f>
        <v>2155.94</v>
      </c>
      <c r="C91" s="94">
        <f t="shared" si="36"/>
        <v>2159.8399999999997</v>
      </c>
      <c r="D91" s="94">
        <f t="shared" si="36"/>
        <v>2134.8399999999997</v>
      </c>
      <c r="E91" s="94">
        <f t="shared" si="36"/>
        <v>2118.8399999999997</v>
      </c>
      <c r="F91" s="94">
        <f t="shared" si="36"/>
        <v>2110.7399999999998</v>
      </c>
      <c r="G91" s="94">
        <f t="shared" si="36"/>
        <v>2092.34</v>
      </c>
      <c r="H91" s="94">
        <f t="shared" si="36"/>
        <v>2116.94</v>
      </c>
      <c r="I91" s="94">
        <f t="shared" si="36"/>
        <v>2082.34</v>
      </c>
      <c r="J91" s="94">
        <f t="shared" si="36"/>
        <v>2149.94</v>
      </c>
      <c r="K91" s="94">
        <f t="shared" si="36"/>
        <v>2164.4500000000003</v>
      </c>
      <c r="L91" s="94">
        <f t="shared" si="36"/>
        <v>2107.4500000000003</v>
      </c>
      <c r="M91" s="94">
        <f t="shared" si="36"/>
        <v>2111.04</v>
      </c>
      <c r="N91" s="94">
        <f t="shared" si="36"/>
        <v>2171.34</v>
      </c>
      <c r="O91" s="94">
        <f t="shared" si="36"/>
        <v>2170.04</v>
      </c>
      <c r="P91" s="94">
        <f t="shared" si="36"/>
        <v>2128.6400000000003</v>
      </c>
      <c r="Q91" s="94">
        <f t="shared" si="36"/>
        <v>2143.7399999999998</v>
      </c>
      <c r="R91" s="94">
        <f t="shared" si="36"/>
        <v>2144.34</v>
      </c>
      <c r="S91" s="94">
        <f t="shared" ref="S91:T91" si="37">S89+S90</f>
        <v>2164.7399999999998</v>
      </c>
      <c r="T91" s="94">
        <f t="shared" si="37"/>
        <v>2144.94</v>
      </c>
      <c r="U91" s="94">
        <f t="shared" ref="U91:V91" si="38">U89+U90</f>
        <v>2129.34</v>
      </c>
      <c r="V91" s="94">
        <f t="shared" si="38"/>
        <v>2111.5400000000004</v>
      </c>
      <c r="W91" s="94">
        <f t="shared" ref="W91:Y91" si="39">W89+W90</f>
        <v>2170.94</v>
      </c>
      <c r="X91" s="94">
        <f t="shared" si="39"/>
        <v>2232.7399999999998</v>
      </c>
      <c r="Y91" s="94">
        <f t="shared" si="39"/>
        <v>2267.84</v>
      </c>
      <c r="Z91" s="94">
        <f t="shared" ref="Z91:AA91" si="40">Z89+Z90</f>
        <v>2220.64</v>
      </c>
      <c r="AA91" s="94">
        <f t="shared" si="40"/>
        <v>2218.2399999999998</v>
      </c>
      <c r="AB91" s="94">
        <f t="shared" si="36"/>
        <v>2194.44</v>
      </c>
      <c r="AC91" s="94">
        <f t="shared" si="36"/>
        <v>2192.8399999999997</v>
      </c>
      <c r="AD91" s="94">
        <f t="shared" si="36"/>
        <v>2161.54</v>
      </c>
      <c r="AE91" s="94">
        <f t="shared" si="36"/>
        <v>2114.54</v>
      </c>
      <c r="AF91" s="94">
        <f t="shared" si="36"/>
        <v>2111.54</v>
      </c>
      <c r="AG91" s="87">
        <f>AG88+AG84+AG72+AG68+AG50+AG90</f>
        <v>1573.45</v>
      </c>
      <c r="AH91" s="47">
        <f t="shared" si="24"/>
        <v>2267.84</v>
      </c>
      <c r="AI91" s="48">
        <f t="shared" si="25"/>
        <v>2082.34</v>
      </c>
    </row>
    <row r="92" spans="1:40" ht="15.75" thickBot="1" x14ac:dyDescent="0.3">
      <c r="A92" s="73" t="s">
        <v>103</v>
      </c>
      <c r="B92" s="94">
        <f>B91-(-B99)</f>
        <v>1574.94</v>
      </c>
      <c r="C92" s="94">
        <f t="shared" ref="C92:AF92" si="41">C91-(-C99)</f>
        <v>1562.0399999999997</v>
      </c>
      <c r="D92" s="94">
        <f t="shared" si="41"/>
        <v>1523.0399999999997</v>
      </c>
      <c r="E92" s="94">
        <f t="shared" si="41"/>
        <v>1496.5399999999997</v>
      </c>
      <c r="F92" s="94">
        <f t="shared" si="41"/>
        <v>1484.8399999999997</v>
      </c>
      <c r="G92" s="94">
        <f t="shared" si="41"/>
        <v>1485.3400000000001</v>
      </c>
      <c r="H92" s="94">
        <f t="shared" si="41"/>
        <v>1511.94</v>
      </c>
      <c r="I92" s="94">
        <f t="shared" si="41"/>
        <v>1500.3400000000001</v>
      </c>
      <c r="J92" s="94">
        <f t="shared" si="41"/>
        <v>1501.94</v>
      </c>
      <c r="K92" s="94">
        <f t="shared" si="41"/>
        <v>1541.9500000000003</v>
      </c>
      <c r="L92" s="94">
        <f t="shared" si="41"/>
        <v>1575.4500000000003</v>
      </c>
      <c r="M92" s="94">
        <f t="shared" si="41"/>
        <v>1497.1399999999999</v>
      </c>
      <c r="N92" s="94">
        <f t="shared" si="41"/>
        <v>1545.44</v>
      </c>
      <c r="O92" s="94">
        <f t="shared" si="41"/>
        <v>1596.84</v>
      </c>
      <c r="P92" s="94">
        <f t="shared" si="41"/>
        <v>1542.3400000000004</v>
      </c>
      <c r="Q92" s="94">
        <f t="shared" si="41"/>
        <v>1544.5399999999997</v>
      </c>
      <c r="R92" s="94">
        <f t="shared" si="41"/>
        <v>1524.7400000000002</v>
      </c>
      <c r="S92" s="94">
        <f t="shared" ref="S92:T92" si="42">S91-(-S99)</f>
        <v>1561.8399999999997</v>
      </c>
      <c r="T92" s="94">
        <f t="shared" si="42"/>
        <v>1530.04</v>
      </c>
      <c r="U92" s="94">
        <f t="shared" ref="U92:V92" si="43">U91-(-U99)</f>
        <v>1520.44</v>
      </c>
      <c r="V92" s="94">
        <f t="shared" si="43"/>
        <v>1528.6400000000003</v>
      </c>
      <c r="W92" s="94">
        <f t="shared" ref="W92:Y92" si="44">W91-(-W99)</f>
        <v>1613.04</v>
      </c>
      <c r="X92" s="94">
        <f t="shared" si="44"/>
        <v>1737.3399999999997</v>
      </c>
      <c r="Y92" s="94">
        <f t="shared" si="44"/>
        <v>1737.94</v>
      </c>
      <c r="Z92" s="94">
        <f t="shared" ref="Z92:AA92" si="45">Z91-(-Z99)</f>
        <v>1688.1399999999999</v>
      </c>
      <c r="AA92" s="94">
        <f t="shared" si="45"/>
        <v>1689.7399999999998</v>
      </c>
      <c r="AB92" s="94">
        <f t="shared" si="41"/>
        <v>1669.44</v>
      </c>
      <c r="AC92" s="94">
        <f t="shared" si="41"/>
        <v>1632.5399999999997</v>
      </c>
      <c r="AD92" s="94">
        <f t="shared" si="41"/>
        <v>1601.54</v>
      </c>
      <c r="AE92" s="94">
        <f t="shared" si="41"/>
        <v>1514.54</v>
      </c>
      <c r="AF92" s="94">
        <f t="shared" si="41"/>
        <v>1530.54</v>
      </c>
      <c r="AG92" s="87"/>
      <c r="AH92" s="47">
        <f t="shared" si="24"/>
        <v>1737.94</v>
      </c>
      <c r="AI92" s="48">
        <f t="shared" si="25"/>
        <v>1484.8399999999997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24"/>
        <v>0</v>
      </c>
      <c r="AI93" s="48">
        <f t="shared" si="25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24"/>
        <v>0</v>
      </c>
      <c r="AI94" s="48">
        <f t="shared" si="25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24"/>
        <v>0</v>
      </c>
      <c r="AI95" s="48">
        <f t="shared" si="25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24"/>
        <v>0</v>
      </c>
      <c r="AI96" s="48">
        <f t="shared" si="25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24"/>
        <v>0</v>
      </c>
      <c r="AI97" s="48">
        <f t="shared" si="25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24"/>
        <v>0</v>
      </c>
      <c r="AI98" s="48">
        <f t="shared" si="25"/>
        <v>0</v>
      </c>
    </row>
    <row r="99" spans="1:37" ht="15.75" thickBot="1" x14ac:dyDescent="0.3">
      <c r="A99" s="98" t="s">
        <v>107</v>
      </c>
      <c r="B99" s="60">
        <f>B75</f>
        <v>-581</v>
      </c>
      <c r="C99" s="60">
        <f t="shared" ref="C99:AF99" si="46">C75</f>
        <v>-597.79999999999995</v>
      </c>
      <c r="D99" s="60">
        <f t="shared" si="46"/>
        <v>-611.79999999999995</v>
      </c>
      <c r="E99" s="60">
        <f t="shared" si="46"/>
        <v>-622.29999999999995</v>
      </c>
      <c r="F99" s="60">
        <f t="shared" si="46"/>
        <v>-625.9</v>
      </c>
      <c r="G99" s="60">
        <f t="shared" si="46"/>
        <v>-607</v>
      </c>
      <c r="H99" s="60">
        <f t="shared" si="46"/>
        <v>-605</v>
      </c>
      <c r="I99" s="60">
        <f t="shared" si="46"/>
        <v>-582</v>
      </c>
      <c r="J99" s="60">
        <f t="shared" si="46"/>
        <v>-648</v>
      </c>
      <c r="K99" s="60">
        <f t="shared" si="46"/>
        <v>-622.5</v>
      </c>
      <c r="L99" s="60">
        <f t="shared" si="46"/>
        <v>-532</v>
      </c>
      <c r="M99" s="60">
        <f t="shared" si="46"/>
        <v>-613.9</v>
      </c>
      <c r="N99" s="60">
        <f t="shared" si="46"/>
        <v>-625.9</v>
      </c>
      <c r="O99" s="60">
        <f t="shared" si="46"/>
        <v>-573.20000000000005</v>
      </c>
      <c r="P99" s="60">
        <f t="shared" si="46"/>
        <v>-586.29999999999995</v>
      </c>
      <c r="Q99" s="60">
        <f t="shared" si="46"/>
        <v>-599.20000000000005</v>
      </c>
      <c r="R99" s="60">
        <f t="shared" si="46"/>
        <v>-619.6</v>
      </c>
      <c r="S99" s="60">
        <f t="shared" ref="S99:T99" si="47">S75</f>
        <v>-602.9</v>
      </c>
      <c r="T99" s="60">
        <f t="shared" si="47"/>
        <v>-614.9</v>
      </c>
      <c r="U99" s="60">
        <f t="shared" ref="U99:V99" si="48">U75</f>
        <v>-608.9</v>
      </c>
      <c r="V99" s="60">
        <f t="shared" si="48"/>
        <v>-582.9</v>
      </c>
      <c r="W99" s="60">
        <f t="shared" ref="W99:Y99" si="49">W75</f>
        <v>-557.9</v>
      </c>
      <c r="X99" s="60">
        <f t="shared" si="49"/>
        <v>-495.4</v>
      </c>
      <c r="Y99" s="60">
        <f t="shared" si="49"/>
        <v>-529.9</v>
      </c>
      <c r="Z99" s="60">
        <f t="shared" ref="Z99:AA99" si="50">Z75</f>
        <v>-532.5</v>
      </c>
      <c r="AA99" s="60">
        <f t="shared" si="50"/>
        <v>-528.5</v>
      </c>
      <c r="AB99" s="60">
        <f t="shared" si="46"/>
        <v>-525</v>
      </c>
      <c r="AC99" s="60">
        <f t="shared" si="46"/>
        <v>-560.29999999999995</v>
      </c>
      <c r="AD99" s="60">
        <f t="shared" si="46"/>
        <v>-560</v>
      </c>
      <c r="AE99" s="60">
        <f t="shared" si="46"/>
        <v>-600</v>
      </c>
      <c r="AF99" s="60">
        <f t="shared" si="46"/>
        <v>-581</v>
      </c>
      <c r="AG99" s="87"/>
      <c r="AH99" s="47">
        <f t="shared" si="24"/>
        <v>-495.4</v>
      </c>
      <c r="AI99" s="48">
        <f t="shared" si="25"/>
        <v>-648</v>
      </c>
      <c r="AK99" s="50"/>
    </row>
    <row r="100" spans="1:37" ht="15.75" thickBot="1" x14ac:dyDescent="0.3">
      <c r="A100" s="73" t="s">
        <v>108</v>
      </c>
      <c r="B100" s="60">
        <f t="shared" ref="B100:AF100" si="51">B84-B99</f>
        <v>581</v>
      </c>
      <c r="C100" s="60">
        <f t="shared" si="51"/>
        <v>597.79999999999995</v>
      </c>
      <c r="D100" s="60">
        <f t="shared" si="51"/>
        <v>611.79999999999995</v>
      </c>
      <c r="E100" s="60">
        <f t="shared" si="51"/>
        <v>622.29999999999995</v>
      </c>
      <c r="F100" s="60">
        <f t="shared" si="51"/>
        <v>625.9</v>
      </c>
      <c r="G100" s="60">
        <f t="shared" si="51"/>
        <v>607</v>
      </c>
      <c r="H100" s="60">
        <f t="shared" si="51"/>
        <v>605</v>
      </c>
      <c r="I100" s="60">
        <f t="shared" si="51"/>
        <v>582</v>
      </c>
      <c r="J100" s="60">
        <f t="shared" si="51"/>
        <v>648</v>
      </c>
      <c r="K100" s="60">
        <f t="shared" si="51"/>
        <v>622.5</v>
      </c>
      <c r="L100" s="60">
        <f t="shared" si="51"/>
        <v>532</v>
      </c>
      <c r="M100" s="60">
        <f t="shared" si="51"/>
        <v>613.9</v>
      </c>
      <c r="N100" s="60">
        <f t="shared" si="51"/>
        <v>625.9</v>
      </c>
      <c r="O100" s="60">
        <f t="shared" si="51"/>
        <v>573.20000000000005</v>
      </c>
      <c r="P100" s="60">
        <f t="shared" si="51"/>
        <v>586.29999999999995</v>
      </c>
      <c r="Q100" s="60">
        <f t="shared" si="51"/>
        <v>599.20000000000005</v>
      </c>
      <c r="R100" s="60">
        <f t="shared" si="51"/>
        <v>619.6</v>
      </c>
      <c r="S100" s="60">
        <f t="shared" ref="S100:T100" si="52">S84-S99</f>
        <v>602.9</v>
      </c>
      <c r="T100" s="60">
        <f t="shared" si="52"/>
        <v>614.9</v>
      </c>
      <c r="U100" s="60">
        <f t="shared" ref="U100:V100" si="53">U84-U99</f>
        <v>608.9</v>
      </c>
      <c r="V100" s="60">
        <f t="shared" si="53"/>
        <v>582.9</v>
      </c>
      <c r="W100" s="60">
        <f t="shared" ref="W100:Y100" si="54">W84-W99</f>
        <v>557.9</v>
      </c>
      <c r="X100" s="60">
        <f t="shared" si="54"/>
        <v>495.4</v>
      </c>
      <c r="Y100" s="60">
        <f t="shared" si="54"/>
        <v>536.69999999999993</v>
      </c>
      <c r="Z100" s="60">
        <f t="shared" ref="Z100:AA100" si="55">Z84-Z99</f>
        <v>537.20000000000005</v>
      </c>
      <c r="AA100" s="60">
        <f t="shared" si="55"/>
        <v>528.5</v>
      </c>
      <c r="AB100" s="60">
        <f t="shared" si="51"/>
        <v>535</v>
      </c>
      <c r="AC100" s="60">
        <f t="shared" si="51"/>
        <v>567.29999999999995</v>
      </c>
      <c r="AD100" s="60">
        <f t="shared" si="51"/>
        <v>567</v>
      </c>
      <c r="AE100" s="60">
        <f t="shared" si="51"/>
        <v>600</v>
      </c>
      <c r="AF100" s="60">
        <f t="shared" si="51"/>
        <v>581</v>
      </c>
      <c r="AG100" s="87"/>
      <c r="AH100" s="47">
        <f t="shared" si="24"/>
        <v>648</v>
      </c>
      <c r="AI100" s="48">
        <f t="shared" si="25"/>
        <v>495.4</v>
      </c>
    </row>
    <row r="101" spans="1:37" x14ac:dyDescent="0.25">
      <c r="A101" s="99" t="s">
        <v>109</v>
      </c>
      <c r="B101" s="100">
        <v>50.012</v>
      </c>
      <c r="C101" s="100">
        <v>50.026000000000003</v>
      </c>
      <c r="D101" s="100">
        <v>50.079000000000001</v>
      </c>
      <c r="E101" s="100">
        <v>50.02</v>
      </c>
      <c r="F101" s="100">
        <v>50.02</v>
      </c>
      <c r="G101" s="100">
        <v>50.029000000000003</v>
      </c>
      <c r="H101" s="100">
        <v>49.953000000000003</v>
      </c>
      <c r="I101" s="100">
        <v>49.97</v>
      </c>
      <c r="J101" s="100">
        <v>49.97</v>
      </c>
      <c r="K101" s="100">
        <v>50</v>
      </c>
      <c r="L101" s="100">
        <v>49.89</v>
      </c>
      <c r="M101" s="100">
        <v>50.011000000000003</v>
      </c>
      <c r="N101" s="100">
        <v>50.051000000000002</v>
      </c>
      <c r="O101" s="100">
        <v>50.04</v>
      </c>
      <c r="P101" s="100">
        <v>49.944000000000003</v>
      </c>
      <c r="Q101" s="100">
        <v>50.072000000000003</v>
      </c>
      <c r="R101" s="100">
        <v>49.936999999999998</v>
      </c>
      <c r="S101" s="100">
        <v>50.01</v>
      </c>
      <c r="T101" s="100">
        <v>49.72</v>
      </c>
      <c r="U101" s="100">
        <v>49.802999999999997</v>
      </c>
      <c r="V101" s="100">
        <v>49.78</v>
      </c>
      <c r="W101" s="100">
        <v>49.804000000000002</v>
      </c>
      <c r="X101" s="100">
        <v>49.75</v>
      </c>
      <c r="Y101" s="100">
        <v>49.712000000000003</v>
      </c>
      <c r="Z101" s="100">
        <v>49.99</v>
      </c>
      <c r="AA101" s="100">
        <v>50.01</v>
      </c>
      <c r="AB101" s="100">
        <v>50.030999999999999</v>
      </c>
      <c r="AC101" s="100">
        <v>49.988999999999997</v>
      </c>
      <c r="AD101" s="100">
        <v>49.988999999999997</v>
      </c>
      <c r="AE101" s="100">
        <v>50.03</v>
      </c>
      <c r="AF101" s="100">
        <v>49.981999999999999</v>
      </c>
      <c r="AG101" s="101"/>
      <c r="AH101" s="47">
        <f t="shared" si="24"/>
        <v>50.079000000000001</v>
      </c>
      <c r="AI101" s="48">
        <f t="shared" si="25"/>
        <v>49.712000000000003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24"/>
        <v>0</v>
      </c>
      <c r="AI102" s="48">
        <f t="shared" si="25"/>
        <v>0</v>
      </c>
    </row>
    <row r="103" spans="1:37" x14ac:dyDescent="0.25">
      <c r="A103" s="102" t="s">
        <v>111</v>
      </c>
      <c r="B103" s="64">
        <v>127.5</v>
      </c>
      <c r="C103" s="64">
        <v>128</v>
      </c>
      <c r="D103" s="64">
        <v>129.69999999999999</v>
      </c>
      <c r="E103" s="64">
        <v>130.80000000000001</v>
      </c>
      <c r="F103" s="64">
        <v>130.80000000000001</v>
      </c>
      <c r="G103" s="64">
        <v>129.6</v>
      </c>
      <c r="H103" s="64">
        <v>128.19999999999999</v>
      </c>
      <c r="I103" s="64">
        <v>127.5</v>
      </c>
      <c r="J103" s="64">
        <v>127.5</v>
      </c>
      <c r="K103" s="64">
        <v>126</v>
      </c>
      <c r="L103" s="64">
        <v>125.8</v>
      </c>
      <c r="M103" s="64">
        <v>124.6</v>
      </c>
      <c r="N103" s="64">
        <v>126.8</v>
      </c>
      <c r="O103" s="64">
        <v>125</v>
      </c>
      <c r="P103" s="64">
        <v>126.1</v>
      </c>
      <c r="Q103" s="64">
        <v>127.8</v>
      </c>
      <c r="R103" s="64">
        <v>127.1</v>
      </c>
      <c r="S103" s="64">
        <v>128.19999999999999</v>
      </c>
      <c r="T103" s="64">
        <v>126.5</v>
      </c>
      <c r="U103" s="64">
        <v>126.3</v>
      </c>
      <c r="V103" s="64">
        <v>127.8</v>
      </c>
      <c r="W103" s="64">
        <v>129.5</v>
      </c>
      <c r="X103" s="64">
        <v>128.5</v>
      </c>
      <c r="Y103" s="64">
        <v>129.19999999999999</v>
      </c>
      <c r="Z103" s="64">
        <v>129.19999999999999</v>
      </c>
      <c r="AA103" s="64">
        <v>129.1</v>
      </c>
      <c r="AB103" s="64">
        <v>129.6</v>
      </c>
      <c r="AC103" s="64">
        <v>128.69999999999999</v>
      </c>
      <c r="AD103" s="64">
        <v>128.69999999999999</v>
      </c>
      <c r="AE103" s="64">
        <v>129.1</v>
      </c>
      <c r="AF103" s="64">
        <v>127.7</v>
      </c>
      <c r="AG103" s="103"/>
      <c r="AH103" s="47">
        <f t="shared" si="24"/>
        <v>130.80000000000001</v>
      </c>
      <c r="AI103" s="48">
        <f t="shared" si="25"/>
        <v>124.6</v>
      </c>
    </row>
    <row r="104" spans="1:37" x14ac:dyDescent="0.25">
      <c r="A104" s="102" t="s">
        <v>112</v>
      </c>
      <c r="B104" s="64">
        <v>129.1</v>
      </c>
      <c r="C104" s="64">
        <v>130.19999999999999</v>
      </c>
      <c r="D104" s="64">
        <v>130.19999999999999</v>
      </c>
      <c r="E104" s="64">
        <v>129.19999999999999</v>
      </c>
      <c r="F104" s="64">
        <v>129.19999999999999</v>
      </c>
      <c r="G104" s="64">
        <v>129.9</v>
      </c>
      <c r="H104" s="64">
        <v>128.6</v>
      </c>
      <c r="I104" s="64">
        <v>129.69999999999999</v>
      </c>
      <c r="J104" s="64">
        <v>129.69999999999999</v>
      </c>
      <c r="K104" s="64">
        <v>128</v>
      </c>
      <c r="L104" s="64">
        <v>127</v>
      </c>
      <c r="M104" s="64">
        <v>125.6</v>
      </c>
      <c r="N104" s="64">
        <v>127</v>
      </c>
      <c r="O104" s="64">
        <v>127.1</v>
      </c>
      <c r="P104" s="64">
        <v>128.5</v>
      </c>
      <c r="Q104" s="64">
        <v>129.69999999999999</v>
      </c>
      <c r="R104" s="64">
        <v>128.4</v>
      </c>
      <c r="S104" s="64">
        <v>126.3</v>
      </c>
      <c r="T104" s="64">
        <v>129.19999999999999</v>
      </c>
      <c r="U104" s="64">
        <v>128.30000000000001</v>
      </c>
      <c r="V104" s="64">
        <v>129.6</v>
      </c>
      <c r="W104" s="64">
        <v>128.19999999999999</v>
      </c>
      <c r="X104" s="64">
        <v>126.5</v>
      </c>
      <c r="Y104" s="64">
        <v>128</v>
      </c>
      <c r="Z104" s="64">
        <v>128</v>
      </c>
      <c r="AA104" s="64">
        <v>128</v>
      </c>
      <c r="AB104" s="64">
        <v>128</v>
      </c>
      <c r="AC104" s="64">
        <v>126.5</v>
      </c>
      <c r="AD104" s="64">
        <v>126.5</v>
      </c>
      <c r="AE104" s="64">
        <v>130.6</v>
      </c>
      <c r="AF104" s="64">
        <v>128</v>
      </c>
      <c r="AG104" s="103"/>
      <c r="AH104" s="47">
        <f t="shared" si="24"/>
        <v>130.6</v>
      </c>
      <c r="AI104" s="48">
        <f t="shared" si="25"/>
        <v>125.6</v>
      </c>
    </row>
    <row r="105" spans="1:37" x14ac:dyDescent="0.25">
      <c r="A105" s="104" t="s">
        <v>113</v>
      </c>
      <c r="B105" s="64">
        <v>133.6</v>
      </c>
      <c r="C105" s="64">
        <v>134.19999999999999</v>
      </c>
      <c r="D105" s="64">
        <v>133.9</v>
      </c>
      <c r="E105" s="64">
        <v>133.6</v>
      </c>
      <c r="F105" s="64">
        <v>133.6</v>
      </c>
      <c r="G105" s="64">
        <v>133.9</v>
      </c>
      <c r="H105" s="64">
        <v>131.74</v>
      </c>
      <c r="I105" s="64">
        <v>131.9</v>
      </c>
      <c r="J105" s="64">
        <v>131.9</v>
      </c>
      <c r="K105" s="64">
        <v>130.6</v>
      </c>
      <c r="L105" s="64">
        <v>131</v>
      </c>
      <c r="M105" s="64">
        <v>128.30000000000001</v>
      </c>
      <c r="N105" s="64">
        <v>129.30000000000001</v>
      </c>
      <c r="O105" s="64">
        <v>131.4</v>
      </c>
      <c r="P105" s="64">
        <v>132.6</v>
      </c>
      <c r="Q105" s="64">
        <v>132.6</v>
      </c>
      <c r="R105" s="64"/>
      <c r="S105" s="64">
        <v>130.1</v>
      </c>
      <c r="T105" s="64">
        <v>132</v>
      </c>
      <c r="U105" s="64">
        <v>130.6</v>
      </c>
      <c r="V105" s="64">
        <v>132.30000000000001</v>
      </c>
      <c r="W105" s="64">
        <v>131.1</v>
      </c>
      <c r="X105" s="64">
        <v>129.1</v>
      </c>
      <c r="Y105" s="64">
        <v>131.19999999999999</v>
      </c>
      <c r="Z105" s="64">
        <v>131.19999999999999</v>
      </c>
      <c r="AA105" s="64">
        <v>131.9</v>
      </c>
      <c r="AB105" s="64">
        <v>132.4</v>
      </c>
      <c r="AC105" s="64">
        <v>131.80000000000001</v>
      </c>
      <c r="AD105" s="64">
        <v>131.80000000000001</v>
      </c>
      <c r="AE105" s="64">
        <v>132.9</v>
      </c>
      <c r="AF105" s="64">
        <v>131.1</v>
      </c>
      <c r="AG105" s="103"/>
      <c r="AH105" s="47">
        <f t="shared" si="24"/>
        <v>134.19999999999999</v>
      </c>
      <c r="AI105" s="48">
        <f t="shared" si="25"/>
        <v>128.30000000000001</v>
      </c>
    </row>
    <row r="106" spans="1:37" x14ac:dyDescent="0.25">
      <c r="A106" s="104" t="s">
        <v>114</v>
      </c>
      <c r="B106" s="105">
        <v>131.6</v>
      </c>
      <c r="C106" s="105">
        <v>129.4</v>
      </c>
      <c r="D106" s="105">
        <v>134.1</v>
      </c>
      <c r="E106" s="105">
        <v>136</v>
      </c>
      <c r="F106" s="105">
        <v>136</v>
      </c>
      <c r="G106" s="105">
        <v>134</v>
      </c>
      <c r="H106" s="105">
        <v>132</v>
      </c>
      <c r="I106" s="105">
        <v>130.9</v>
      </c>
      <c r="J106" s="105">
        <v>130.9</v>
      </c>
      <c r="K106" s="105">
        <v>131.9</v>
      </c>
      <c r="L106" s="105">
        <v>130.19999999999999</v>
      </c>
      <c r="M106" s="105">
        <v>129.4</v>
      </c>
      <c r="N106" s="105">
        <v>134.80000000000001</v>
      </c>
      <c r="O106" s="105">
        <v>133.69999999999999</v>
      </c>
      <c r="P106" s="105">
        <v>133.69999999999999</v>
      </c>
      <c r="Q106" s="105">
        <v>133.4</v>
      </c>
      <c r="R106" s="105">
        <v>133.30000000000001</v>
      </c>
      <c r="S106" s="105">
        <v>134</v>
      </c>
      <c r="T106" s="105">
        <v>130.97999999999999</v>
      </c>
      <c r="U106" s="105">
        <v>130.4</v>
      </c>
      <c r="V106" s="105">
        <v>133.6</v>
      </c>
      <c r="W106" s="105">
        <v>134.69999999999999</v>
      </c>
      <c r="X106" s="105">
        <v>129.19999999999999</v>
      </c>
      <c r="Y106" s="105">
        <v>132.80000000000001</v>
      </c>
      <c r="Z106" s="105">
        <v>132.80000000000001</v>
      </c>
      <c r="AA106" s="105">
        <v>130.69999999999999</v>
      </c>
      <c r="AB106" s="105">
        <v>131.30000000000001</v>
      </c>
      <c r="AC106" s="105">
        <v>131.69999999999999</v>
      </c>
      <c r="AD106" s="105">
        <v>131.69999999999999</v>
      </c>
      <c r="AE106" s="105">
        <v>130.5</v>
      </c>
      <c r="AF106" s="105">
        <v>130.4</v>
      </c>
      <c r="AG106" s="106"/>
      <c r="AH106" s="47">
        <f t="shared" si="24"/>
        <v>136</v>
      </c>
      <c r="AI106" s="48">
        <f t="shared" si="25"/>
        <v>129.19999999999999</v>
      </c>
    </row>
    <row r="107" spans="1:37" x14ac:dyDescent="0.25">
      <c r="A107" s="102" t="s">
        <v>115</v>
      </c>
      <c r="B107" s="64">
        <v>129</v>
      </c>
      <c r="C107" s="64">
        <v>131.1</v>
      </c>
      <c r="D107" s="64">
        <v>133.5</v>
      </c>
      <c r="E107" s="64">
        <v>138</v>
      </c>
      <c r="F107" s="64">
        <v>138</v>
      </c>
      <c r="G107" s="64">
        <v>136</v>
      </c>
      <c r="H107" s="64">
        <v>131</v>
      </c>
      <c r="I107" s="64">
        <v>131.69999999999999</v>
      </c>
      <c r="J107" s="64">
        <v>131.69999999999999</v>
      </c>
      <c r="K107" s="64">
        <v>128.5</v>
      </c>
      <c r="L107" s="64">
        <v>130.5</v>
      </c>
      <c r="M107" s="64">
        <v>127.1</v>
      </c>
      <c r="N107" s="64">
        <v>132.80000000000001</v>
      </c>
      <c r="O107" s="64">
        <v>131.6</v>
      </c>
      <c r="P107" s="64">
        <v>132.1</v>
      </c>
      <c r="Q107" s="64">
        <v>132.69999999999999</v>
      </c>
      <c r="R107" s="64"/>
      <c r="S107" s="64">
        <v>135.4</v>
      </c>
      <c r="T107" s="64">
        <v>127.9</v>
      </c>
      <c r="U107" s="64">
        <v>126.6</v>
      </c>
      <c r="V107" s="64">
        <v>135.19999999999999</v>
      </c>
      <c r="W107" s="64">
        <v>134</v>
      </c>
      <c r="X107" s="64">
        <v>125.8</v>
      </c>
      <c r="Y107" s="64">
        <v>124.6</v>
      </c>
      <c r="Z107" s="64">
        <v>124.6</v>
      </c>
      <c r="AA107" s="64">
        <v>130.1</v>
      </c>
      <c r="AB107" s="64">
        <v>133</v>
      </c>
      <c r="AC107" s="64">
        <v>129.69999999999999</v>
      </c>
      <c r="AD107" s="64">
        <v>129.69999999999999</v>
      </c>
      <c r="AE107" s="64">
        <v>134.30000000000001</v>
      </c>
      <c r="AF107" s="64">
        <v>130.80000000000001</v>
      </c>
      <c r="AG107" s="103"/>
      <c r="AH107" s="47">
        <f t="shared" si="24"/>
        <v>138</v>
      </c>
      <c r="AI107" s="48">
        <f t="shared" si="25"/>
        <v>124.6</v>
      </c>
    </row>
    <row r="108" spans="1:37" ht="15.75" thickBot="1" x14ac:dyDescent="0.3">
      <c r="A108" s="102" t="s">
        <v>116</v>
      </c>
      <c r="B108" s="91">
        <v>64.099999999999994</v>
      </c>
      <c r="C108" s="91">
        <v>64.2</v>
      </c>
      <c r="D108" s="91">
        <v>65.3</v>
      </c>
      <c r="E108" s="91">
        <v>66</v>
      </c>
      <c r="F108" s="91">
        <v>65</v>
      </c>
      <c r="G108" s="91">
        <v>65</v>
      </c>
      <c r="H108" s="91">
        <v>64.3</v>
      </c>
      <c r="I108" s="91">
        <v>63.9</v>
      </c>
      <c r="J108" s="91">
        <v>64</v>
      </c>
      <c r="K108" s="91">
        <v>64.099999999999994</v>
      </c>
      <c r="L108" s="91">
        <v>63.3</v>
      </c>
      <c r="M108" s="91">
        <v>62.6</v>
      </c>
      <c r="N108" s="91">
        <v>63.8</v>
      </c>
      <c r="O108" s="91">
        <v>63</v>
      </c>
      <c r="P108" s="91">
        <v>63.7</v>
      </c>
      <c r="Q108" s="91">
        <v>64.2</v>
      </c>
      <c r="R108" s="91">
        <v>63.9</v>
      </c>
      <c r="S108" s="91">
        <v>64.5</v>
      </c>
      <c r="T108" s="91">
        <v>63.5</v>
      </c>
      <c r="U108" s="91">
        <v>63.4</v>
      </c>
      <c r="V108" s="91">
        <v>64.099999999999994</v>
      </c>
      <c r="W108" s="91">
        <v>64.099999999999994</v>
      </c>
      <c r="X108" s="91">
        <v>64.599999999999994</v>
      </c>
      <c r="Y108" s="91">
        <v>65</v>
      </c>
      <c r="Z108" s="91">
        <v>65</v>
      </c>
      <c r="AA108" s="91">
        <v>65.099999999999994</v>
      </c>
      <c r="AB108" s="91">
        <v>65.5</v>
      </c>
      <c r="AC108" s="91">
        <v>65.099999999999994</v>
      </c>
      <c r="AD108" s="91">
        <v>65.099999999999994</v>
      </c>
      <c r="AE108" s="91">
        <v>64.900000000000006</v>
      </c>
      <c r="AF108" s="91">
        <v>64.099999999999994</v>
      </c>
      <c r="AG108" s="107"/>
      <c r="AH108" s="47">
        <f t="shared" si="24"/>
        <v>66</v>
      </c>
      <c r="AI108" s="48">
        <f t="shared" si="25"/>
        <v>62.6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24"/>
        <v>0</v>
      </c>
      <c r="AI109" s="48">
        <f t="shared" si="25"/>
        <v>0</v>
      </c>
    </row>
    <row r="110" spans="1:37" ht="15.75" thickBot="1" x14ac:dyDescent="0.3">
      <c r="A110" s="109" t="s">
        <v>118</v>
      </c>
      <c r="B110" s="110">
        <f t="shared" ref="B110:O110" si="56">SUM(B20,B26,B29:B30,B58,B60:B61,B63,B65,B111:B115,B138,B144,B150,B159,B161,B173,B180,B183:B184,B191,B193,B195,B199:B201,B203:B205,B210,B216:B217,B219:B221,B229,B234)</f>
        <v>47.4</v>
      </c>
      <c r="C110" s="110">
        <f t="shared" si="56"/>
        <v>55.740000000000009</v>
      </c>
      <c r="D110" s="110">
        <f t="shared" si="56"/>
        <v>41.940000000000012</v>
      </c>
      <c r="E110" s="110">
        <f t="shared" si="56"/>
        <v>33.939999999999984</v>
      </c>
      <c r="F110" s="110">
        <f t="shared" si="56"/>
        <v>27.74000000000002</v>
      </c>
      <c r="G110" s="110">
        <f t="shared" si="56"/>
        <v>56.940000000000026</v>
      </c>
      <c r="H110" s="110">
        <f t="shared" si="56"/>
        <v>98.240000000000023</v>
      </c>
      <c r="I110" s="110">
        <f t="shared" si="56"/>
        <v>121.43999999999998</v>
      </c>
      <c r="J110" s="110">
        <f t="shared" si="56"/>
        <v>152.03999999999996</v>
      </c>
      <c r="K110" s="110">
        <f t="shared" si="56"/>
        <v>192.04000000000002</v>
      </c>
      <c r="L110" s="110">
        <f t="shared" si="56"/>
        <v>206.73999999999998</v>
      </c>
      <c r="M110" s="110">
        <f t="shared" si="56"/>
        <v>204.54</v>
      </c>
      <c r="N110" s="110">
        <f t="shared" si="56"/>
        <v>199.94</v>
      </c>
      <c r="O110" s="110">
        <f t="shared" si="56"/>
        <v>205.44</v>
      </c>
      <c r="P110" s="110">
        <v>42</v>
      </c>
      <c r="Q110" s="110">
        <f t="shared" ref="Q110:AF110" si="57">SUM(Q20,Q26,Q29:Q30,Q58,Q60:Q61,Q63,Q65,Q111:Q115,Q138,Q144,Q150,Q159,Q161,Q173,Q180,Q183:Q184,Q191,Q193,Q195,Q199:Q201,Q203:Q205,Q210,Q216:Q217,Q219:Q221,Q229,Q234)</f>
        <v>199.6</v>
      </c>
      <c r="R110" s="110">
        <f t="shared" si="57"/>
        <v>198</v>
      </c>
      <c r="S110" s="110">
        <f t="shared" ref="S110:T110" si="58">SUM(S20,S26,S29:S30,S58,S60:S61,S63,S65,S111:S115,S138,S144,S150,S159,S161,S173,S180,S183:S184,S191,S193,S195,S199:S201,S203:S205,S210,S216:S217,S219:S221,S229,S234)</f>
        <v>189.69999999999993</v>
      </c>
      <c r="T110" s="110">
        <f t="shared" si="58"/>
        <v>188.29999999999993</v>
      </c>
      <c r="U110" s="110">
        <f t="shared" ref="U110:V110" si="59">SUM(U20,U26,U29:U30,U58,U60:U61,U63,U65,U111:U115,U138,U144,U150,U159,U161,U173,U180,U183:U184,U191,U193,U195,U199:U201,U203:U205,U210,U216:U217,U219:U221,U229,U234)</f>
        <v>200.09999999999997</v>
      </c>
      <c r="V110" s="110">
        <f t="shared" si="59"/>
        <v>206.2</v>
      </c>
      <c r="W110" s="110">
        <f t="shared" ref="W110:Y110" si="60">SUM(W20,W26,W29:W30,W58,W60:W61,W63,W65,W111:W115,W138,W144,W150,W159,W161,W173,W180,W183:W184,W191,W193,W195,W199:W201,W203:W205,W210,W216:W217,W219:W221,W229,W234)</f>
        <v>216.9</v>
      </c>
      <c r="X110" s="110">
        <f t="shared" si="60"/>
        <v>252.2</v>
      </c>
      <c r="Y110" s="110">
        <f t="shared" si="60"/>
        <v>249.10000000000002</v>
      </c>
      <c r="Z110" s="110">
        <f t="shared" ref="Z110:AA110" si="61">SUM(Z20,Z26,Z29:Z30,Z58,Z60:Z61,Z63,Z65,Z111:Z115,Z138,Z144,Z150,Z159,Z161,Z173,Z180,Z183:Z184,Z191,Z193,Z195,Z199:Z201,Z203:Z205,Z210,Z216:Z217,Z219:Z221,Z229,Z234)</f>
        <v>239.70000000000005</v>
      </c>
      <c r="AA110" s="110">
        <f t="shared" si="61"/>
        <v>212.80000000000004</v>
      </c>
      <c r="AB110" s="110">
        <f t="shared" si="57"/>
        <v>206.8</v>
      </c>
      <c r="AC110" s="110">
        <f t="shared" si="57"/>
        <v>150.70000000000002</v>
      </c>
      <c r="AD110" s="110">
        <f t="shared" si="57"/>
        <v>140.49999999999997</v>
      </c>
      <c r="AE110" s="110">
        <f t="shared" si="57"/>
        <v>44.5</v>
      </c>
      <c r="AF110" s="110">
        <f t="shared" si="57"/>
        <v>38.199999999999974</v>
      </c>
      <c r="AG110" s="111"/>
      <c r="AH110" s="47">
        <f t="shared" si="24"/>
        <v>252.2</v>
      </c>
      <c r="AI110" s="48">
        <f t="shared" si="25"/>
        <v>27.74000000000002</v>
      </c>
    </row>
    <row r="111" spans="1:37" x14ac:dyDescent="0.25">
      <c r="A111" s="99" t="s">
        <v>119</v>
      </c>
      <c r="B111" s="112">
        <v>30.9</v>
      </c>
      <c r="C111" s="112">
        <v>35</v>
      </c>
      <c r="D111" s="112">
        <v>27.3</v>
      </c>
      <c r="E111" s="112">
        <v>28.6</v>
      </c>
      <c r="F111" s="112">
        <v>30.4</v>
      </c>
      <c r="G111" s="112">
        <v>29.5</v>
      </c>
      <c r="H111" s="112">
        <v>38</v>
      </c>
      <c r="I111" s="112">
        <v>43.5</v>
      </c>
      <c r="J111" s="112">
        <v>51</v>
      </c>
      <c r="K111" s="112">
        <v>57.8</v>
      </c>
      <c r="L111" s="112">
        <v>59.9</v>
      </c>
      <c r="M111" s="112">
        <v>55.9</v>
      </c>
      <c r="N111" s="112">
        <v>55.6</v>
      </c>
      <c r="O111" s="112">
        <v>57.2</v>
      </c>
      <c r="P111" s="112">
        <v>53.5</v>
      </c>
      <c r="Q111" s="112">
        <v>54.7</v>
      </c>
      <c r="R111" s="112">
        <v>55.6</v>
      </c>
      <c r="S111" s="112">
        <v>50.2</v>
      </c>
      <c r="T111" s="112">
        <v>54.7</v>
      </c>
      <c r="U111" s="112">
        <v>52.3</v>
      </c>
      <c r="V111" s="112">
        <v>47.9</v>
      </c>
      <c r="W111" s="112">
        <v>44.5</v>
      </c>
      <c r="X111" s="112">
        <v>46.7</v>
      </c>
      <c r="Y111" s="112">
        <v>51</v>
      </c>
      <c r="Z111" s="112">
        <v>53</v>
      </c>
      <c r="AA111" s="112">
        <v>52.5</v>
      </c>
      <c r="AB111" s="112">
        <v>53</v>
      </c>
      <c r="AC111" s="112">
        <v>50.3</v>
      </c>
      <c r="AD111" s="112">
        <v>50.3</v>
      </c>
      <c r="AE111" s="112">
        <v>25.8</v>
      </c>
      <c r="AF111" s="112">
        <v>26</v>
      </c>
      <c r="AG111" s="113">
        <v>75</v>
      </c>
      <c r="AH111" s="47">
        <f t="shared" si="24"/>
        <v>59.9</v>
      </c>
      <c r="AI111" s="48">
        <f t="shared" si="25"/>
        <v>25.8</v>
      </c>
    </row>
    <row r="112" spans="1:37" x14ac:dyDescent="0.25">
      <c r="A112" s="102" t="s">
        <v>120</v>
      </c>
      <c r="B112" s="114">
        <v>49.1</v>
      </c>
      <c r="C112" s="114">
        <v>55.3</v>
      </c>
      <c r="D112" s="114">
        <v>43</v>
      </c>
      <c r="E112" s="114">
        <v>43.1</v>
      </c>
      <c r="F112" s="114">
        <v>46.6</v>
      </c>
      <c r="G112" s="114">
        <v>46.1</v>
      </c>
      <c r="H112" s="114">
        <v>57.7</v>
      </c>
      <c r="I112" s="114">
        <v>67.7</v>
      </c>
      <c r="J112" s="114">
        <v>76.900000000000006</v>
      </c>
      <c r="K112" s="114">
        <v>82.5</v>
      </c>
      <c r="L112" s="114">
        <v>85.5</v>
      </c>
      <c r="M112" s="114">
        <v>78.099999999999994</v>
      </c>
      <c r="N112" s="114">
        <v>77.599999999999994</v>
      </c>
      <c r="O112" s="114">
        <v>79.2</v>
      </c>
      <c r="P112" s="114">
        <v>72.599999999999994</v>
      </c>
      <c r="Q112" s="114">
        <v>74.8</v>
      </c>
      <c r="R112" s="114">
        <v>76.7</v>
      </c>
      <c r="S112" s="114">
        <v>70.099999999999994</v>
      </c>
      <c r="T112" s="114">
        <v>74.599999999999994</v>
      </c>
      <c r="U112" s="114">
        <v>71.7</v>
      </c>
      <c r="V112" s="114">
        <v>67</v>
      </c>
      <c r="W112" s="114">
        <v>62.4</v>
      </c>
      <c r="X112" s="114">
        <v>64.2</v>
      </c>
      <c r="Y112" s="114">
        <v>70.8</v>
      </c>
      <c r="Z112" s="114">
        <v>73.900000000000006</v>
      </c>
      <c r="AA112" s="114">
        <v>74.8</v>
      </c>
      <c r="AB112" s="114">
        <v>75</v>
      </c>
      <c r="AC112" s="114">
        <v>70.7</v>
      </c>
      <c r="AD112" s="114">
        <v>70.7</v>
      </c>
      <c r="AE112" s="114">
        <v>41.1</v>
      </c>
      <c r="AF112" s="114">
        <v>41.8</v>
      </c>
      <c r="AG112" s="113">
        <v>240</v>
      </c>
      <c r="AH112" s="47">
        <f t="shared" si="24"/>
        <v>85.5</v>
      </c>
      <c r="AI112" s="48">
        <f t="shared" si="25"/>
        <v>41.1</v>
      </c>
    </row>
    <row r="113" spans="1:37" x14ac:dyDescent="0.25">
      <c r="A113" s="102" t="s">
        <v>121</v>
      </c>
      <c r="B113" s="114">
        <v>-174</v>
      </c>
      <c r="C113" s="114">
        <v>-176</v>
      </c>
      <c r="D113" s="114">
        <v>-164</v>
      </c>
      <c r="E113" s="114">
        <v>-175</v>
      </c>
      <c r="F113" s="114">
        <v>-187</v>
      </c>
      <c r="G113" s="114">
        <v>-166</v>
      </c>
      <c r="H113" s="114">
        <v>-154</v>
      </c>
      <c r="I113" s="114">
        <v>-155.80000000000001</v>
      </c>
      <c r="J113" s="114">
        <v>-149</v>
      </c>
      <c r="K113" s="114">
        <v>-125</v>
      </c>
      <c r="L113" s="114">
        <v>-111</v>
      </c>
      <c r="M113" s="114">
        <f>-50-56.4</f>
        <v>-106.4</v>
      </c>
      <c r="N113" s="114">
        <f>-55-59</f>
        <v>-114</v>
      </c>
      <c r="O113" s="114">
        <f>-55-59</f>
        <v>-114</v>
      </c>
      <c r="P113" s="114">
        <f>-50-54</f>
        <v>-104</v>
      </c>
      <c r="Q113" s="114">
        <f>-54-58</f>
        <v>-112</v>
      </c>
      <c r="R113" s="114">
        <f>-57-61</f>
        <v>-118</v>
      </c>
      <c r="S113" s="114">
        <v>-112</v>
      </c>
      <c r="T113" s="114">
        <v>-115.6</v>
      </c>
      <c r="U113" s="114">
        <v>-94.9</v>
      </c>
      <c r="V113" s="114">
        <v>-79.8</v>
      </c>
      <c r="W113" s="114">
        <v>-79.900000000000006</v>
      </c>
      <c r="X113" s="114">
        <v>-76.7</v>
      </c>
      <c r="Y113" s="114">
        <v>-92.8</v>
      </c>
      <c r="Z113" s="114">
        <v>-90.5</v>
      </c>
      <c r="AA113" s="114">
        <v>-110.6</v>
      </c>
      <c r="AB113" s="114">
        <v>-108</v>
      </c>
      <c r="AC113" s="114">
        <v>-154</v>
      </c>
      <c r="AD113" s="114">
        <v>-154</v>
      </c>
      <c r="AE113" s="114">
        <v>-164</v>
      </c>
      <c r="AF113" s="114">
        <v>-170</v>
      </c>
      <c r="AG113" s="113">
        <v>240</v>
      </c>
      <c r="AH113" s="47">
        <f t="shared" si="24"/>
        <v>-76.7</v>
      </c>
      <c r="AI113" s="48">
        <f t="shared" si="25"/>
        <v>-187</v>
      </c>
    </row>
    <row r="114" spans="1:37" x14ac:dyDescent="0.25">
      <c r="A114" s="102" t="s">
        <v>122</v>
      </c>
      <c r="B114" s="114">
        <v>-26.6</v>
      </c>
      <c r="C114" s="114">
        <v>-27.5</v>
      </c>
      <c r="D114" s="114">
        <v>-28.3</v>
      </c>
      <c r="E114" s="114">
        <v>-26.7</v>
      </c>
      <c r="F114" s="114">
        <v>-25.9</v>
      </c>
      <c r="G114" s="114">
        <v>-21.5</v>
      </c>
      <c r="H114" s="114">
        <v>-17.3</v>
      </c>
      <c r="I114" s="114">
        <v>-12.7</v>
      </c>
      <c r="J114" s="114">
        <v>-9.8000000000000007</v>
      </c>
      <c r="K114" s="114">
        <v>-6.2</v>
      </c>
      <c r="L114" s="114">
        <v>-10.6</v>
      </c>
      <c r="M114" s="114">
        <v>-3</v>
      </c>
      <c r="N114" s="114">
        <v>-4.7</v>
      </c>
      <c r="O114" s="114">
        <v>-5.5</v>
      </c>
      <c r="P114" s="114">
        <v>0.3</v>
      </c>
      <c r="Q114" s="114">
        <v>-1.1000000000000001</v>
      </c>
      <c r="R114" s="114">
        <v>0</v>
      </c>
      <c r="S114" s="114">
        <v>0</v>
      </c>
      <c r="T114" s="114">
        <v>-3.3</v>
      </c>
      <c r="U114" s="114">
        <v>-2.4</v>
      </c>
      <c r="V114" s="114">
        <v>0</v>
      </c>
      <c r="W114" s="114">
        <v>20</v>
      </c>
      <c r="X114" s="114">
        <v>36.200000000000003</v>
      </c>
      <c r="Y114" s="114">
        <v>38.299999999999997</v>
      </c>
      <c r="Z114" s="114">
        <v>21.5</v>
      </c>
      <c r="AA114" s="114">
        <v>14.3</v>
      </c>
      <c r="AB114" s="114">
        <v>5</v>
      </c>
      <c r="AC114" s="114">
        <v>1.9</v>
      </c>
      <c r="AD114" s="114">
        <v>1.9</v>
      </c>
      <c r="AE114" s="114">
        <v>-20</v>
      </c>
      <c r="AF114" s="114">
        <v>-21.2</v>
      </c>
      <c r="AG114" s="113">
        <v>60</v>
      </c>
      <c r="AH114" s="47">
        <f t="shared" si="24"/>
        <v>38.299999999999997</v>
      </c>
      <c r="AI114" s="48">
        <f t="shared" si="25"/>
        <v>-28.3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24"/>
        <v>0</v>
      </c>
      <c r="AI115" s="48">
        <f t="shared" si="25"/>
        <v>0</v>
      </c>
    </row>
    <row r="116" spans="1:37" x14ac:dyDescent="0.25">
      <c r="A116" s="115" t="s">
        <v>124</v>
      </c>
      <c r="B116" s="116">
        <v>12.8</v>
      </c>
      <c r="C116" s="116">
        <v>0.5</v>
      </c>
      <c r="D116" s="116">
        <v>16.600000000000001</v>
      </c>
      <c r="E116" s="116">
        <v>-12.6</v>
      </c>
      <c r="F116" s="116">
        <v>4.2</v>
      </c>
      <c r="G116" s="116">
        <v>18.8</v>
      </c>
      <c r="H116" s="116">
        <v>8.3000000000000007</v>
      </c>
      <c r="I116" s="116">
        <v>-36.799999999999997</v>
      </c>
      <c r="J116" s="116">
        <v>-20</v>
      </c>
      <c r="K116" s="116">
        <v>12.7</v>
      </c>
      <c r="L116" s="116">
        <v>32.4</v>
      </c>
      <c r="M116" s="116">
        <v>46.6</v>
      </c>
      <c r="N116" s="116">
        <v>6.7</v>
      </c>
      <c r="O116" s="116">
        <v>49.6</v>
      </c>
      <c r="P116" s="116">
        <v>44.8</v>
      </c>
      <c r="Q116" s="116">
        <v>15.2</v>
      </c>
      <c r="R116" s="116">
        <v>-13.2</v>
      </c>
      <c r="S116" s="116">
        <v>6.3</v>
      </c>
      <c r="T116" s="116">
        <v>-29.3</v>
      </c>
      <c r="U116" s="116">
        <v>15.1</v>
      </c>
      <c r="V116" s="116">
        <v>53.7</v>
      </c>
      <c r="W116" s="116">
        <v>44</v>
      </c>
      <c r="X116" s="116">
        <v>55.7</v>
      </c>
      <c r="Y116" s="116">
        <v>31</v>
      </c>
      <c r="Z116" s="116">
        <v>23.4</v>
      </c>
      <c r="AA116" s="116">
        <v>30.3</v>
      </c>
      <c r="AB116" s="116">
        <v>22</v>
      </c>
      <c r="AC116" s="116">
        <v>-7.4</v>
      </c>
      <c r="AD116" s="116">
        <v>-7.4</v>
      </c>
      <c r="AE116" s="116">
        <v>1.3</v>
      </c>
      <c r="AF116" s="116">
        <v>11.9</v>
      </c>
      <c r="AG116" s="117"/>
      <c r="AH116" s="47">
        <f t="shared" si="24"/>
        <v>55.7</v>
      </c>
      <c r="AI116" s="48">
        <f t="shared" si="25"/>
        <v>-36.799999999999997</v>
      </c>
    </row>
    <row r="117" spans="1:37" x14ac:dyDescent="0.25">
      <c r="A117" s="115" t="s">
        <v>125</v>
      </c>
      <c r="B117" s="116">
        <v>0</v>
      </c>
      <c r="C117" s="116">
        <v>-12.8</v>
      </c>
      <c r="D117" s="116">
        <v>2.5</v>
      </c>
      <c r="E117" s="116">
        <v>5.4</v>
      </c>
      <c r="F117" s="116">
        <v>-5.8</v>
      </c>
      <c r="G117" s="116">
        <v>0</v>
      </c>
      <c r="H117" s="116">
        <v>-10</v>
      </c>
      <c r="I117" s="116">
        <v>-20.6</v>
      </c>
      <c r="J117" s="116">
        <v>-20.6</v>
      </c>
      <c r="K117" s="116">
        <v>-15.9</v>
      </c>
      <c r="L117" s="116">
        <v>-20.9</v>
      </c>
      <c r="M117" s="116">
        <v>-18.3</v>
      </c>
      <c r="N117" s="116">
        <v>-22</v>
      </c>
      <c r="O117" s="116">
        <v>-23.9</v>
      </c>
      <c r="P117" s="116">
        <v>102.2</v>
      </c>
      <c r="Q117" s="116">
        <v>-35</v>
      </c>
      <c r="R117" s="116">
        <v>-36</v>
      </c>
      <c r="S117" s="116">
        <v>-22.1</v>
      </c>
      <c r="T117" s="116">
        <v>-33.1</v>
      </c>
      <c r="U117" s="116">
        <v>-29.1</v>
      </c>
      <c r="V117" s="116">
        <v>-2</v>
      </c>
      <c r="W117" s="116">
        <v>6</v>
      </c>
      <c r="X117" s="116">
        <v>0</v>
      </c>
      <c r="Y117" s="116">
        <v>-5.4</v>
      </c>
      <c r="Z117" s="116">
        <v>-9.4</v>
      </c>
      <c r="AA117" s="116">
        <v>-13.2</v>
      </c>
      <c r="AB117" s="116">
        <v>-16</v>
      </c>
      <c r="AC117" s="116">
        <v>-16.8</v>
      </c>
      <c r="AD117" s="116">
        <v>-16.8</v>
      </c>
      <c r="AE117" s="116">
        <v>-5.0999999999999996</v>
      </c>
      <c r="AF117" s="116">
        <v>7.5</v>
      </c>
      <c r="AG117" s="118"/>
      <c r="AH117" s="47">
        <f t="shared" si="24"/>
        <v>102.2</v>
      </c>
      <c r="AI117" s="48">
        <f t="shared" si="25"/>
        <v>-36</v>
      </c>
    </row>
    <row r="118" spans="1:37" x14ac:dyDescent="0.25">
      <c r="A118" s="119" t="s">
        <v>126</v>
      </c>
      <c r="B118" s="105">
        <v>72.7</v>
      </c>
      <c r="C118" s="105">
        <v>74.099999999999994</v>
      </c>
      <c r="D118" s="105">
        <v>75.900000000000006</v>
      </c>
      <c r="E118" s="105">
        <v>79.5</v>
      </c>
      <c r="F118" s="105">
        <v>79.599999999999994</v>
      </c>
      <c r="G118" s="105">
        <v>78.8</v>
      </c>
      <c r="H118" s="105">
        <v>79</v>
      </c>
      <c r="I118" s="105">
        <v>77.599999999999994</v>
      </c>
      <c r="J118" s="105">
        <v>75.7</v>
      </c>
      <c r="K118" s="105">
        <v>68.400000000000006</v>
      </c>
      <c r="L118" s="105">
        <v>65.2</v>
      </c>
      <c r="M118" s="105">
        <v>61.3</v>
      </c>
      <c r="N118" s="105">
        <v>63.3</v>
      </c>
      <c r="O118" s="105">
        <v>62.4</v>
      </c>
      <c r="P118" s="105">
        <v>65.7</v>
      </c>
      <c r="Q118" s="105">
        <v>52.3</v>
      </c>
      <c r="R118" s="105">
        <v>53.3</v>
      </c>
      <c r="S118" s="105">
        <v>54.9</v>
      </c>
      <c r="T118" s="105">
        <v>55.2</v>
      </c>
      <c r="U118" s="105">
        <v>59.7</v>
      </c>
      <c r="V118" s="105">
        <v>56.1</v>
      </c>
      <c r="W118" s="105">
        <v>52.4</v>
      </c>
      <c r="X118" s="105">
        <v>40.799999999999997</v>
      </c>
      <c r="Y118" s="105">
        <v>45.2</v>
      </c>
      <c r="Z118" s="105">
        <v>47.6</v>
      </c>
      <c r="AA118" s="105">
        <v>47.4</v>
      </c>
      <c r="AB118" s="105">
        <v>50.7</v>
      </c>
      <c r="AC118" s="105">
        <v>54.7</v>
      </c>
      <c r="AD118" s="105">
        <v>54.7</v>
      </c>
      <c r="AE118" s="105">
        <v>65.2</v>
      </c>
      <c r="AF118" s="105">
        <v>67.400000000000006</v>
      </c>
      <c r="AG118" s="118"/>
      <c r="AH118" s="47">
        <f t="shared" si="24"/>
        <v>79.599999999999994</v>
      </c>
      <c r="AI118" s="48">
        <f t="shared" si="25"/>
        <v>40.799999999999997</v>
      </c>
    </row>
    <row r="119" spans="1:37" x14ac:dyDescent="0.25">
      <c r="A119" s="120" t="s">
        <v>127</v>
      </c>
      <c r="B119" s="105">
        <v>93.9</v>
      </c>
      <c r="C119" s="105">
        <v>92</v>
      </c>
      <c r="D119" s="105">
        <v>84</v>
      </c>
      <c r="E119" s="105">
        <v>92.4</v>
      </c>
      <c r="F119" s="105">
        <v>94.7</v>
      </c>
      <c r="G119" s="105">
        <v>85.5</v>
      </c>
      <c r="H119" s="105">
        <v>86.9</v>
      </c>
      <c r="I119" s="105">
        <v>99.8</v>
      </c>
      <c r="J119" s="105">
        <v>91.8</v>
      </c>
      <c r="K119" s="105">
        <v>77.3</v>
      </c>
      <c r="L119" s="105">
        <v>68.400000000000006</v>
      </c>
      <c r="M119" s="105">
        <v>69.8</v>
      </c>
      <c r="N119" s="105">
        <v>77.599999999999994</v>
      </c>
      <c r="O119" s="105">
        <v>66.2</v>
      </c>
      <c r="P119" s="105">
        <v>63.5</v>
      </c>
      <c r="Q119" s="105">
        <v>73.3</v>
      </c>
      <c r="R119" s="105">
        <v>82.8</v>
      </c>
      <c r="S119" s="105">
        <v>76.3</v>
      </c>
      <c r="T119" s="105">
        <v>82.6</v>
      </c>
      <c r="U119" s="105">
        <v>67.5</v>
      </c>
      <c r="V119" s="105">
        <v>41.1</v>
      </c>
      <c r="W119" s="105">
        <v>50.2</v>
      </c>
      <c r="X119" s="105">
        <v>46.5</v>
      </c>
      <c r="Y119" s="105">
        <v>62.7</v>
      </c>
      <c r="Z119" s="105">
        <v>64.5</v>
      </c>
      <c r="AA119" s="105">
        <v>68.599999999999994</v>
      </c>
      <c r="AB119" s="105">
        <v>77.400000000000006</v>
      </c>
      <c r="AC119" s="105">
        <v>92.9</v>
      </c>
      <c r="AD119" s="105">
        <v>92.9</v>
      </c>
      <c r="AE119" s="105">
        <v>89.3</v>
      </c>
      <c r="AF119" s="105">
        <v>89.8</v>
      </c>
      <c r="AG119" s="118"/>
      <c r="AH119" s="47">
        <f t="shared" si="24"/>
        <v>99.8</v>
      </c>
      <c r="AI119" s="48">
        <f t="shared" si="25"/>
        <v>41.1</v>
      </c>
    </row>
    <row r="120" spans="1:37" ht="15.75" thickBot="1" x14ac:dyDescent="0.3">
      <c r="A120" s="119" t="s">
        <v>128</v>
      </c>
      <c r="B120" s="105">
        <v>-17.2</v>
      </c>
      <c r="C120" s="105">
        <v>-15.7</v>
      </c>
      <c r="D120" s="105">
        <v>-18.899999999999999</v>
      </c>
      <c r="E120" s="105">
        <v>-20.100000000000001</v>
      </c>
      <c r="F120" s="105">
        <v>-23.4</v>
      </c>
      <c r="G120" s="105">
        <v>-20.2</v>
      </c>
      <c r="H120" s="105">
        <v>-26.6</v>
      </c>
      <c r="I120" s="105">
        <v>12.9</v>
      </c>
      <c r="J120" s="105">
        <v>-14.9</v>
      </c>
      <c r="K120" s="105">
        <v>-14.4</v>
      </c>
      <c r="L120" s="105">
        <v>22</v>
      </c>
      <c r="M120" s="105">
        <v>-24.5</v>
      </c>
      <c r="N120" s="105">
        <v>-20.2</v>
      </c>
      <c r="O120" s="105">
        <v>-14.3</v>
      </c>
      <c r="P120" s="105">
        <v>-15</v>
      </c>
      <c r="Q120" s="105">
        <v>-5.2</v>
      </c>
      <c r="R120" s="105">
        <v>-1.6</v>
      </c>
      <c r="S120" s="105">
        <v>-4.0999999999999996</v>
      </c>
      <c r="T120" s="105">
        <v>-2.9</v>
      </c>
      <c r="U120" s="105">
        <v>-13.2</v>
      </c>
      <c r="V120" s="105">
        <v>-15.6</v>
      </c>
      <c r="W120" s="105">
        <v>-8</v>
      </c>
      <c r="X120" s="105">
        <v>-11</v>
      </c>
      <c r="Y120" s="105">
        <v>7.8</v>
      </c>
      <c r="Z120" s="105">
        <v>-7</v>
      </c>
      <c r="AA120" s="105">
        <v>10</v>
      </c>
      <c r="AB120" s="105">
        <v>12</v>
      </c>
      <c r="AC120" s="105">
        <v>10.7</v>
      </c>
      <c r="AD120" s="105">
        <v>10.7</v>
      </c>
      <c r="AE120" s="105">
        <v>13.6</v>
      </c>
      <c r="AF120" s="105">
        <v>4.4000000000000004</v>
      </c>
      <c r="AG120" s="118"/>
      <c r="AH120" s="47">
        <f t="shared" si="24"/>
        <v>22</v>
      </c>
      <c r="AI120" s="48">
        <f t="shared" si="25"/>
        <v>-26.6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62">SUM(B122:B226)</f>
        <v>0</v>
      </c>
      <c r="C227" s="136">
        <f t="shared" si="62"/>
        <v>0</v>
      </c>
      <c r="D227" s="136">
        <f t="shared" si="62"/>
        <v>0</v>
      </c>
      <c r="E227" s="136">
        <f t="shared" si="62"/>
        <v>0</v>
      </c>
      <c r="F227" s="136">
        <f t="shared" si="62"/>
        <v>0</v>
      </c>
      <c r="G227" s="136">
        <f t="shared" si="62"/>
        <v>0</v>
      </c>
      <c r="H227" s="136">
        <f t="shared" si="62"/>
        <v>0</v>
      </c>
      <c r="I227" s="136">
        <f t="shared" si="62"/>
        <v>0</v>
      </c>
      <c r="J227" s="136">
        <f t="shared" si="62"/>
        <v>0</v>
      </c>
      <c r="K227" s="136">
        <f t="shared" si="62"/>
        <v>0</v>
      </c>
      <c r="L227" s="136">
        <f t="shared" si="62"/>
        <v>0</v>
      </c>
      <c r="M227" s="136">
        <f t="shared" si="62"/>
        <v>0</v>
      </c>
      <c r="N227" s="136">
        <f t="shared" si="62"/>
        <v>0</v>
      </c>
      <c r="O227" s="136">
        <f t="shared" si="62"/>
        <v>0</v>
      </c>
      <c r="P227" s="136">
        <f t="shared" si="62"/>
        <v>0</v>
      </c>
      <c r="Q227" s="136">
        <f t="shared" si="62"/>
        <v>0</v>
      </c>
      <c r="R227" s="136">
        <f t="shared" si="62"/>
        <v>0</v>
      </c>
      <c r="S227" s="136">
        <f t="shared" si="62"/>
        <v>0</v>
      </c>
      <c r="T227" s="136">
        <f t="shared" si="62"/>
        <v>0</v>
      </c>
      <c r="U227" s="136">
        <f t="shared" si="62"/>
        <v>0</v>
      </c>
      <c r="V227" s="136">
        <f t="shared" si="62"/>
        <v>0</v>
      </c>
      <c r="W227" s="136">
        <f t="shared" si="62"/>
        <v>0</v>
      </c>
      <c r="X227" s="136">
        <f t="shared" si="62"/>
        <v>0</v>
      </c>
      <c r="Y227" s="136">
        <f t="shared" si="62"/>
        <v>0</v>
      </c>
      <c r="Z227" s="136">
        <f t="shared" si="62"/>
        <v>0</v>
      </c>
      <c r="AA227" s="136">
        <f t="shared" si="62"/>
        <v>0</v>
      </c>
      <c r="AB227" s="136">
        <f t="shared" si="62"/>
        <v>0</v>
      </c>
      <c r="AC227" s="136">
        <f t="shared" si="62"/>
        <v>0</v>
      </c>
      <c r="AD227" s="136">
        <f t="shared" si="62"/>
        <v>0</v>
      </c>
      <c r="AE227" s="136">
        <f t="shared" si="62"/>
        <v>0</v>
      </c>
      <c r="AF227" s="137">
        <f t="shared" si="62"/>
        <v>0</v>
      </c>
      <c r="AG227" s="138">
        <f t="shared" si="62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63">AF229</f>
        <v>0</v>
      </c>
      <c r="C229" s="140">
        <v>0.3</v>
      </c>
      <c r="D229" s="140">
        <f t="shared" ref="D229:P234" si="64">C229</f>
        <v>0.3</v>
      </c>
      <c r="E229" s="140">
        <f t="shared" si="64"/>
        <v>0.3</v>
      </c>
      <c r="F229" s="140">
        <f t="shared" si="64"/>
        <v>0.3</v>
      </c>
      <c r="G229" s="140">
        <f t="shared" si="64"/>
        <v>0.3</v>
      </c>
      <c r="H229" s="140">
        <f t="shared" si="64"/>
        <v>0.3</v>
      </c>
      <c r="I229" s="140">
        <f t="shared" si="64"/>
        <v>0.3</v>
      </c>
      <c r="J229" s="140">
        <f t="shared" si="64"/>
        <v>0.3</v>
      </c>
      <c r="K229" s="140">
        <f t="shared" si="64"/>
        <v>0.3</v>
      </c>
      <c r="L229" s="140">
        <f t="shared" si="64"/>
        <v>0.3</v>
      </c>
      <c r="M229" s="140">
        <f t="shared" si="64"/>
        <v>0.3</v>
      </c>
      <c r="N229" s="140">
        <f t="shared" si="64"/>
        <v>0.3</v>
      </c>
      <c r="O229" s="140">
        <f t="shared" si="64"/>
        <v>0.3</v>
      </c>
      <c r="P229" s="140">
        <f t="shared" si="64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63"/>
        <v>0</v>
      </c>
      <c r="C230" s="128">
        <v>0.4</v>
      </c>
      <c r="D230" s="128">
        <f t="shared" si="64"/>
        <v>0.4</v>
      </c>
      <c r="E230" s="128">
        <f t="shared" si="64"/>
        <v>0.4</v>
      </c>
      <c r="F230" s="128">
        <f t="shared" si="64"/>
        <v>0.4</v>
      </c>
      <c r="G230" s="128">
        <f t="shared" si="64"/>
        <v>0.4</v>
      </c>
      <c r="H230" s="128">
        <f t="shared" si="64"/>
        <v>0.4</v>
      </c>
      <c r="I230" s="128">
        <f t="shared" si="64"/>
        <v>0.4</v>
      </c>
      <c r="J230" s="128">
        <f t="shared" si="64"/>
        <v>0.4</v>
      </c>
      <c r="K230" s="128">
        <f t="shared" si="64"/>
        <v>0.4</v>
      </c>
      <c r="L230" s="128">
        <f t="shared" si="64"/>
        <v>0.4</v>
      </c>
      <c r="M230" s="128">
        <f t="shared" si="64"/>
        <v>0.4</v>
      </c>
      <c r="N230" s="128">
        <f t="shared" si="64"/>
        <v>0.4</v>
      </c>
      <c r="O230" s="128">
        <f t="shared" si="64"/>
        <v>0.4</v>
      </c>
      <c r="P230" s="128">
        <f t="shared" si="64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63"/>
        <v>0</v>
      </c>
      <c r="C231" s="128">
        <v>1.5</v>
      </c>
      <c r="D231" s="128">
        <f t="shared" si="64"/>
        <v>1.5</v>
      </c>
      <c r="E231" s="128">
        <f t="shared" si="64"/>
        <v>1.5</v>
      </c>
      <c r="F231" s="128">
        <f t="shared" si="64"/>
        <v>1.5</v>
      </c>
      <c r="G231" s="128">
        <f t="shared" si="64"/>
        <v>1.5</v>
      </c>
      <c r="H231" s="128">
        <f t="shared" si="64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64"/>
        <v>123.21900000000009</v>
      </c>
      <c r="K231" s="128">
        <f t="shared" ca="1" si="64"/>
        <v>123.21900000000009</v>
      </c>
      <c r="L231" s="128">
        <f t="shared" ca="1" si="64"/>
        <v>123.21900000000009</v>
      </c>
      <c r="M231" s="128">
        <f t="shared" ca="1" si="64"/>
        <v>119.19900000000008</v>
      </c>
      <c r="N231" s="128">
        <f t="shared" ca="1" si="64"/>
        <v>119.19900000000008</v>
      </c>
      <c r="O231" s="128">
        <f t="shared" ca="1" si="64"/>
        <v>119.19900000000008</v>
      </c>
      <c r="P231" s="128">
        <f t="shared" ca="1" si="64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63"/>
        <v>0</v>
      </c>
      <c r="C232" s="128">
        <v>0.3</v>
      </c>
      <c r="D232" s="128">
        <f t="shared" si="64"/>
        <v>0.3</v>
      </c>
      <c r="E232" s="128">
        <f t="shared" si="64"/>
        <v>0.3</v>
      </c>
      <c r="F232" s="128">
        <f t="shared" si="64"/>
        <v>0.3</v>
      </c>
      <c r="G232" s="128">
        <f t="shared" si="64"/>
        <v>0.3</v>
      </c>
      <c r="H232" s="128">
        <f t="shared" si="64"/>
        <v>0.3</v>
      </c>
      <c r="I232" s="128">
        <f t="shared" si="64"/>
        <v>0.3</v>
      </c>
      <c r="J232" s="128">
        <f t="shared" si="64"/>
        <v>0.3</v>
      </c>
      <c r="K232" s="128">
        <f t="shared" si="64"/>
        <v>0.3</v>
      </c>
      <c r="L232" s="128">
        <f t="shared" si="64"/>
        <v>0.3</v>
      </c>
      <c r="M232" s="128">
        <f t="shared" si="64"/>
        <v>0.3</v>
      </c>
      <c r="N232" s="128">
        <f t="shared" si="64"/>
        <v>0.3</v>
      </c>
      <c r="O232" s="128">
        <f t="shared" si="64"/>
        <v>0.3</v>
      </c>
      <c r="P232" s="128">
        <f t="shared" si="64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63"/>
        <v>0</v>
      </c>
      <c r="C233" s="128">
        <v>0.4</v>
      </c>
      <c r="D233" s="128">
        <f t="shared" si="64"/>
        <v>0.4</v>
      </c>
      <c r="E233" s="128">
        <f t="shared" si="64"/>
        <v>0.4</v>
      </c>
      <c r="F233" s="128">
        <f t="shared" si="64"/>
        <v>0.4</v>
      </c>
      <c r="G233" s="128">
        <f t="shared" si="64"/>
        <v>0.4</v>
      </c>
      <c r="H233" s="128">
        <f t="shared" si="64"/>
        <v>0.4</v>
      </c>
      <c r="I233" s="128">
        <f t="shared" si="64"/>
        <v>0.4</v>
      </c>
      <c r="J233" s="128">
        <f t="shared" si="64"/>
        <v>0.4</v>
      </c>
      <c r="K233" s="128">
        <f t="shared" si="64"/>
        <v>0.4</v>
      </c>
      <c r="L233" s="128">
        <f t="shared" si="64"/>
        <v>0.4</v>
      </c>
      <c r="M233" s="128">
        <f t="shared" si="64"/>
        <v>0.4</v>
      </c>
      <c r="N233" s="128">
        <f t="shared" si="64"/>
        <v>0.4</v>
      </c>
      <c r="O233" s="128">
        <f t="shared" si="64"/>
        <v>0.4</v>
      </c>
      <c r="P233" s="128">
        <f t="shared" si="64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63"/>
        <v>0</v>
      </c>
      <c r="C234" s="132">
        <v>0.64</v>
      </c>
      <c r="D234" s="132">
        <f t="shared" si="64"/>
        <v>0.64</v>
      </c>
      <c r="E234" s="132">
        <f t="shared" si="64"/>
        <v>0.64</v>
      </c>
      <c r="F234" s="132">
        <f t="shared" si="64"/>
        <v>0.64</v>
      </c>
      <c r="G234" s="132">
        <f t="shared" si="64"/>
        <v>0.64</v>
      </c>
      <c r="H234" s="132">
        <f t="shared" si="64"/>
        <v>0.64</v>
      </c>
      <c r="I234" s="132">
        <f t="shared" si="64"/>
        <v>0.64</v>
      </c>
      <c r="J234" s="132">
        <f t="shared" si="64"/>
        <v>0.64</v>
      </c>
      <c r="K234" s="132">
        <f t="shared" si="64"/>
        <v>0.64</v>
      </c>
      <c r="L234" s="132">
        <f t="shared" si="64"/>
        <v>0.64</v>
      </c>
      <c r="M234" s="132">
        <f t="shared" si="64"/>
        <v>0.64</v>
      </c>
      <c r="N234" s="132">
        <f t="shared" si="64"/>
        <v>0.64</v>
      </c>
      <c r="O234" s="132">
        <f t="shared" si="64"/>
        <v>0.64</v>
      </c>
      <c r="P234" s="132">
        <f t="shared" si="64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65">SUM(B229:B234)</f>
        <v>0</v>
      </c>
      <c r="C235" s="136">
        <f t="shared" si="65"/>
        <v>3.54</v>
      </c>
      <c r="D235" s="136">
        <f t="shared" si="65"/>
        <v>3.54</v>
      </c>
      <c r="E235" s="136">
        <f t="shared" si="65"/>
        <v>3.54</v>
      </c>
      <c r="F235" s="136">
        <f t="shared" si="65"/>
        <v>3.54</v>
      </c>
      <c r="G235" s="136">
        <f t="shared" si="65"/>
        <v>3.54</v>
      </c>
      <c r="H235" s="136">
        <f t="shared" si="65"/>
        <v>3.54</v>
      </c>
      <c r="I235" s="136">
        <f t="shared" ca="1" si="65"/>
        <v>121.23900000000009</v>
      </c>
      <c r="J235" s="136">
        <f t="shared" ca="1" si="65"/>
        <v>121.23900000000009</v>
      </c>
      <c r="K235" s="136">
        <f t="shared" ca="1" si="65"/>
        <v>121.23900000000009</v>
      </c>
      <c r="L235" s="136">
        <f t="shared" ca="1" si="65"/>
        <v>125.2590000000001</v>
      </c>
      <c r="M235" s="136">
        <f t="shared" ca="1" si="65"/>
        <v>121.23900000000009</v>
      </c>
      <c r="N235" s="136">
        <f t="shared" ca="1" si="65"/>
        <v>121.23900000000009</v>
      </c>
      <c r="O235" s="136">
        <f t="shared" ca="1" si="65"/>
        <v>121.23900000000009</v>
      </c>
      <c r="P235" s="136">
        <f t="shared" ca="1" si="65"/>
        <v>121.23900000000009</v>
      </c>
      <c r="Q235" s="136">
        <f t="shared" si="65"/>
        <v>0</v>
      </c>
      <c r="R235" s="136">
        <f t="shared" si="65"/>
        <v>0</v>
      </c>
      <c r="S235" s="136">
        <f t="shared" si="65"/>
        <v>0</v>
      </c>
      <c r="T235" s="136">
        <f t="shared" si="65"/>
        <v>0</v>
      </c>
      <c r="U235" s="136">
        <f t="shared" si="65"/>
        <v>0</v>
      </c>
      <c r="V235" s="136">
        <f t="shared" si="65"/>
        <v>0</v>
      </c>
      <c r="W235" s="136">
        <f t="shared" si="65"/>
        <v>0</v>
      </c>
      <c r="X235" s="136">
        <f t="shared" si="65"/>
        <v>0</v>
      </c>
      <c r="Y235" s="136">
        <f t="shared" si="65"/>
        <v>0</v>
      </c>
      <c r="Z235" s="136">
        <f t="shared" si="65"/>
        <v>0</v>
      </c>
      <c r="AA235" s="136">
        <f t="shared" si="65"/>
        <v>0</v>
      </c>
      <c r="AB235" s="136">
        <f t="shared" si="65"/>
        <v>0</v>
      </c>
      <c r="AC235" s="136">
        <f t="shared" si="65"/>
        <v>0</v>
      </c>
      <c r="AD235" s="136">
        <f t="shared" si="65"/>
        <v>0</v>
      </c>
      <c r="AE235" s="136">
        <f t="shared" si="65"/>
        <v>0</v>
      </c>
      <c r="AF235" s="136">
        <f t="shared" si="65"/>
        <v>0</v>
      </c>
      <c r="AG235" s="145">
        <f t="shared" si="65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2171.34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23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2080/06/23)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2080/06/23)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66">B91</f>
        <v>2155.94</v>
      </c>
      <c r="U249" s="170">
        <f t="shared" si="66"/>
        <v>2159.8399999999997</v>
      </c>
      <c r="V249" s="170">
        <f t="shared" si="66"/>
        <v>2134.8399999999997</v>
      </c>
      <c r="W249" s="170">
        <f t="shared" si="66"/>
        <v>2118.8399999999997</v>
      </c>
      <c r="X249" s="170">
        <f t="shared" si="66"/>
        <v>2110.7399999999998</v>
      </c>
      <c r="Y249" s="170">
        <f t="shared" si="66"/>
        <v>2092.34</v>
      </c>
      <c r="Z249" s="170">
        <f t="shared" si="66"/>
        <v>2116.94</v>
      </c>
      <c r="AA249" s="170">
        <f t="shared" si="66"/>
        <v>2082.34</v>
      </c>
      <c r="AB249" s="170">
        <f t="shared" si="66"/>
        <v>2149.94</v>
      </c>
      <c r="AC249" s="170">
        <f t="shared" si="66"/>
        <v>2164.4500000000003</v>
      </c>
      <c r="AD249" s="170">
        <f t="shared" si="66"/>
        <v>2107.4500000000003</v>
      </c>
      <c r="AE249" s="170">
        <f t="shared" si="66"/>
        <v>2111.04</v>
      </c>
      <c r="AF249" s="170">
        <f t="shared" si="66"/>
        <v>2171.34</v>
      </c>
      <c r="AG249" s="170">
        <f t="shared" si="66"/>
        <v>2170.04</v>
      </c>
      <c r="AH249" s="170">
        <f t="shared" si="66"/>
        <v>2128.6400000000003</v>
      </c>
      <c r="AI249" s="170">
        <f t="shared" si="66"/>
        <v>2143.7399999999998</v>
      </c>
      <c r="AJ249" s="170">
        <f t="shared" si="66"/>
        <v>2144.34</v>
      </c>
      <c r="AK249" s="170">
        <f t="shared" si="66"/>
        <v>2164.7399999999998</v>
      </c>
      <c r="AL249" s="170">
        <f t="shared" si="66"/>
        <v>2144.94</v>
      </c>
      <c r="AM249" s="170">
        <f t="shared" si="66"/>
        <v>2129.34</v>
      </c>
      <c r="AN249" s="170">
        <f t="shared" si="66"/>
        <v>2111.5400000000004</v>
      </c>
      <c r="AO249" s="170">
        <f t="shared" si="66"/>
        <v>2170.94</v>
      </c>
      <c r="AP249" s="170">
        <f t="shared" si="66"/>
        <v>2232.7399999999998</v>
      </c>
      <c r="AQ249" s="170">
        <f t="shared" si="66"/>
        <v>2267.84</v>
      </c>
      <c r="AR249" s="170">
        <f t="shared" si="66"/>
        <v>2220.64</v>
      </c>
      <c r="AS249" s="170">
        <f t="shared" si="66"/>
        <v>2218.2399999999998</v>
      </c>
      <c r="AT249" s="170">
        <f t="shared" si="66"/>
        <v>2194.44</v>
      </c>
      <c r="AU249" s="170">
        <f t="shared" si="66"/>
        <v>2192.8399999999997</v>
      </c>
      <c r="AV249" s="170">
        <f t="shared" si="66"/>
        <v>2161.54</v>
      </c>
      <c r="AW249" s="170">
        <f t="shared" si="66"/>
        <v>2114.54</v>
      </c>
      <c r="AX249" s="170">
        <f t="shared" si="66"/>
        <v>2111.54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67">C234</f>
        <v>0.64</v>
      </c>
      <c r="C270" s="173">
        <f t="shared" si="67"/>
        <v>0.64</v>
      </c>
      <c r="D270" s="173">
        <f t="shared" si="67"/>
        <v>0.64</v>
      </c>
      <c r="E270" s="173">
        <f t="shared" si="67"/>
        <v>0.64</v>
      </c>
      <c r="F270" s="173">
        <f t="shared" si="67"/>
        <v>0.64</v>
      </c>
      <c r="G270" s="173">
        <f t="shared" si="67"/>
        <v>0.64</v>
      </c>
      <c r="H270" s="173">
        <f t="shared" si="67"/>
        <v>0.64</v>
      </c>
      <c r="I270" s="173">
        <f t="shared" si="67"/>
        <v>0.64</v>
      </c>
      <c r="J270" s="173">
        <f t="shared" si="67"/>
        <v>0.64</v>
      </c>
      <c r="K270" s="173">
        <f t="shared" si="67"/>
        <v>0.64</v>
      </c>
      <c r="L270" s="173">
        <f t="shared" si="67"/>
        <v>0.64</v>
      </c>
      <c r="M270" s="173">
        <f t="shared" si="67"/>
        <v>0.64</v>
      </c>
      <c r="N270" s="173">
        <f t="shared" si="67"/>
        <v>0.64</v>
      </c>
      <c r="O270" s="173">
        <f t="shared" si="67"/>
        <v>0.64</v>
      </c>
      <c r="P270" s="173">
        <f t="shared" si="67"/>
        <v>0</v>
      </c>
      <c r="Q270" s="173">
        <f t="shared" si="67"/>
        <v>0</v>
      </c>
      <c r="R270" s="173">
        <f t="shared" si="67"/>
        <v>0</v>
      </c>
      <c r="S270" s="173">
        <f t="shared" si="67"/>
        <v>0</v>
      </c>
      <c r="T270" s="173">
        <f t="shared" si="67"/>
        <v>0</v>
      </c>
      <c r="U270" s="173">
        <f t="shared" si="67"/>
        <v>0</v>
      </c>
      <c r="V270" s="173">
        <f t="shared" si="67"/>
        <v>0</v>
      </c>
      <c r="W270" s="173">
        <f t="shared" si="67"/>
        <v>0</v>
      </c>
      <c r="X270" s="173">
        <f t="shared" si="67"/>
        <v>0</v>
      </c>
      <c r="Y270" s="173">
        <f t="shared" si="67"/>
        <v>0</v>
      </c>
      <c r="Z270" s="173">
        <f t="shared" si="67"/>
        <v>0</v>
      </c>
      <c r="AA270" s="173">
        <f t="shared" si="67"/>
        <v>0</v>
      </c>
      <c r="AB270" s="173">
        <f t="shared" si="67"/>
        <v>0</v>
      </c>
      <c r="AC270" s="173">
        <f t="shared" si="67"/>
        <v>0</v>
      </c>
      <c r="AD270" s="173">
        <f t="shared" si="67"/>
        <v>0</v>
      </c>
      <c r="AE270" s="173">
        <f t="shared" si="67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68">IF(B238&lt;100,"",B238-520)</f>
        <v/>
      </c>
      <c r="C271" s="174" t="str">
        <f t="shared" si="68"/>
        <v/>
      </c>
      <c r="D271" s="174" t="str">
        <f t="shared" si="68"/>
        <v/>
      </c>
      <c r="E271" s="174" t="str">
        <f t="shared" si="68"/>
        <v/>
      </c>
      <c r="F271" s="174" t="str">
        <f t="shared" si="68"/>
        <v/>
      </c>
      <c r="G271" s="174" t="str">
        <f t="shared" si="68"/>
        <v/>
      </c>
      <c r="H271" s="174" t="str">
        <f t="shared" si="68"/>
        <v/>
      </c>
      <c r="I271" s="174" t="str">
        <f t="shared" si="68"/>
        <v/>
      </c>
      <c r="J271" s="174" t="str">
        <f t="shared" si="68"/>
        <v/>
      </c>
      <c r="K271" s="174" t="str">
        <f t="shared" si="68"/>
        <v/>
      </c>
      <c r="L271" s="174" t="str">
        <f t="shared" si="68"/>
        <v/>
      </c>
      <c r="M271" s="174" t="str">
        <f t="shared" si="68"/>
        <v/>
      </c>
      <c r="N271" s="174" t="str">
        <f t="shared" si="68"/>
        <v/>
      </c>
      <c r="O271" s="174" t="str">
        <f t="shared" si="68"/>
        <v/>
      </c>
      <c r="P271" s="174" t="str">
        <f t="shared" si="68"/>
        <v/>
      </c>
      <c r="Q271" s="174" t="str">
        <f t="shared" si="68"/>
        <v/>
      </c>
      <c r="R271" s="174" t="str">
        <f t="shared" si="68"/>
        <v/>
      </c>
      <c r="S271" s="174" t="str">
        <f t="shared" si="68"/>
        <v/>
      </c>
      <c r="T271" s="174" t="str">
        <f t="shared" si="68"/>
        <v/>
      </c>
      <c r="U271" s="174" t="str">
        <f t="shared" si="68"/>
        <v/>
      </c>
      <c r="V271" s="174" t="str">
        <f t="shared" si="68"/>
        <v/>
      </c>
      <c r="W271" s="174" t="str">
        <f t="shared" si="68"/>
        <v/>
      </c>
      <c r="X271" s="174" t="str">
        <f t="shared" si="68"/>
        <v/>
      </c>
      <c r="Y271" s="174" t="str">
        <f t="shared" si="68"/>
        <v/>
      </c>
      <c r="Z271" s="174" t="str">
        <f t="shared" si="68"/>
        <v/>
      </c>
      <c r="AA271" s="174" t="str">
        <f t="shared" si="68"/>
        <v/>
      </c>
      <c r="AB271" s="174" t="str">
        <f t="shared" si="68"/>
        <v/>
      </c>
      <c r="AC271" s="174" t="str">
        <f t="shared" si="68"/>
        <v/>
      </c>
      <c r="AD271" s="174" t="str">
        <f t="shared" si="68"/>
        <v/>
      </c>
      <c r="AE271" s="174" t="str">
        <f t="shared" si="68"/>
        <v/>
      </c>
      <c r="AF271" s="174" t="str">
        <f t="shared" si="68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69">IF(B239&lt;100,"",B239-620)</f>
        <v/>
      </c>
      <c r="C272" s="174" t="str">
        <f t="shared" si="69"/>
        <v/>
      </c>
      <c r="D272" s="174" t="str">
        <f t="shared" si="69"/>
        <v/>
      </c>
      <c r="E272" s="174" t="str">
        <f t="shared" si="69"/>
        <v/>
      </c>
      <c r="F272" s="174" t="str">
        <f t="shared" si="69"/>
        <v/>
      </c>
      <c r="G272" s="174" t="str">
        <f t="shared" si="69"/>
        <v/>
      </c>
      <c r="H272" s="174" t="str">
        <f t="shared" si="69"/>
        <v/>
      </c>
      <c r="I272" s="174" t="str">
        <f t="shared" si="69"/>
        <v/>
      </c>
      <c r="J272" s="174" t="str">
        <f t="shared" si="69"/>
        <v/>
      </c>
      <c r="K272" s="174" t="str">
        <f t="shared" si="69"/>
        <v/>
      </c>
      <c r="L272" s="174" t="str">
        <f t="shared" si="69"/>
        <v/>
      </c>
      <c r="M272" s="174" t="str">
        <f t="shared" si="69"/>
        <v/>
      </c>
      <c r="N272" s="174" t="str">
        <f t="shared" si="69"/>
        <v/>
      </c>
      <c r="O272" s="174" t="str">
        <f t="shared" si="69"/>
        <v/>
      </c>
      <c r="P272" s="174" t="str">
        <f t="shared" si="69"/>
        <v/>
      </c>
      <c r="Q272" s="174" t="str">
        <f t="shared" si="69"/>
        <v/>
      </c>
      <c r="R272" s="174" t="str">
        <f t="shared" si="69"/>
        <v/>
      </c>
      <c r="S272" s="174" t="str">
        <f t="shared" si="69"/>
        <v/>
      </c>
      <c r="T272" s="174" t="str">
        <f t="shared" si="69"/>
        <v/>
      </c>
      <c r="U272" s="174" t="str">
        <f t="shared" si="69"/>
        <v/>
      </c>
      <c r="V272" s="174" t="str">
        <f t="shared" si="69"/>
        <v/>
      </c>
      <c r="W272" s="174" t="str">
        <f t="shared" si="69"/>
        <v/>
      </c>
      <c r="X272" s="174" t="str">
        <f t="shared" si="69"/>
        <v/>
      </c>
      <c r="Y272" s="174" t="str">
        <f t="shared" si="69"/>
        <v/>
      </c>
      <c r="Z272" s="174" t="str">
        <f t="shared" si="69"/>
        <v/>
      </c>
      <c r="AA272" s="174" t="str">
        <f t="shared" si="69"/>
        <v/>
      </c>
      <c r="AB272" s="174" t="str">
        <f t="shared" si="69"/>
        <v/>
      </c>
      <c r="AC272" s="174" t="str">
        <f t="shared" si="69"/>
        <v/>
      </c>
      <c r="AD272" s="174" t="str">
        <f t="shared" si="69"/>
        <v/>
      </c>
      <c r="AE272" s="174" t="str">
        <f t="shared" si="69"/>
        <v/>
      </c>
      <c r="AF272" s="174" t="str">
        <f t="shared" si="69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70">IF(B240&lt;100,"",B240-330)</f>
        <v/>
      </c>
      <c r="C273" s="174" t="str">
        <f t="shared" si="70"/>
        <v/>
      </c>
      <c r="D273" s="174" t="str">
        <f t="shared" si="70"/>
        <v/>
      </c>
      <c r="E273" s="174" t="str">
        <f t="shared" si="70"/>
        <v/>
      </c>
      <c r="F273" s="174" t="str">
        <f t="shared" si="70"/>
        <v/>
      </c>
      <c r="G273" s="174" t="str">
        <f t="shared" si="70"/>
        <v/>
      </c>
      <c r="H273" s="174" t="str">
        <f t="shared" si="70"/>
        <v/>
      </c>
      <c r="I273" s="174" t="str">
        <f t="shared" si="70"/>
        <v/>
      </c>
      <c r="J273" s="174" t="str">
        <f t="shared" si="70"/>
        <v/>
      </c>
      <c r="K273" s="174" t="str">
        <f t="shared" si="70"/>
        <v/>
      </c>
      <c r="L273" s="174" t="str">
        <f t="shared" si="70"/>
        <v/>
      </c>
      <c r="M273" s="174" t="str">
        <f t="shared" si="70"/>
        <v/>
      </c>
      <c r="N273" s="174" t="str">
        <f t="shared" si="70"/>
        <v/>
      </c>
      <c r="O273" s="174" t="str">
        <f t="shared" si="70"/>
        <v/>
      </c>
      <c r="P273" s="174" t="str">
        <f t="shared" si="70"/>
        <v/>
      </c>
      <c r="Q273" s="174" t="str">
        <f t="shared" si="70"/>
        <v/>
      </c>
      <c r="R273" s="174" t="str">
        <f t="shared" si="70"/>
        <v/>
      </c>
      <c r="S273" s="174" t="str">
        <f t="shared" si="70"/>
        <v/>
      </c>
      <c r="T273" s="174" t="str">
        <f t="shared" si="70"/>
        <v/>
      </c>
      <c r="U273" s="174" t="str">
        <f t="shared" si="70"/>
        <v/>
      </c>
      <c r="V273" s="174" t="str">
        <f t="shared" si="70"/>
        <v/>
      </c>
      <c r="W273" s="174" t="str">
        <f t="shared" si="70"/>
        <v/>
      </c>
      <c r="X273" s="174" t="str">
        <f t="shared" si="70"/>
        <v/>
      </c>
      <c r="Y273" s="174" t="str">
        <f t="shared" si="70"/>
        <v/>
      </c>
      <c r="Z273" s="174" t="str">
        <f t="shared" si="70"/>
        <v/>
      </c>
      <c r="AA273" s="174" t="str">
        <f t="shared" si="70"/>
        <v/>
      </c>
      <c r="AB273" s="174" t="str">
        <f t="shared" si="70"/>
        <v/>
      </c>
      <c r="AC273" s="174" t="str">
        <f t="shared" si="70"/>
        <v/>
      </c>
      <c r="AD273" s="174" t="str">
        <f t="shared" si="70"/>
        <v/>
      </c>
      <c r="AE273" s="174" t="str">
        <f t="shared" si="70"/>
        <v/>
      </c>
      <c r="AF273" s="174" t="str">
        <f t="shared" si="70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71">IF(B241&lt;100,"",B241-1500)</f>
        <v/>
      </c>
      <c r="C274" s="174" t="str">
        <f t="shared" si="71"/>
        <v/>
      </c>
      <c r="D274" s="174" t="str">
        <f t="shared" si="71"/>
        <v/>
      </c>
      <c r="E274" s="174" t="str">
        <f t="shared" si="71"/>
        <v/>
      </c>
      <c r="F274" s="174" t="str">
        <f t="shared" si="71"/>
        <v/>
      </c>
      <c r="G274" s="174" t="str">
        <f t="shared" si="71"/>
        <v/>
      </c>
      <c r="H274" s="174" t="str">
        <f t="shared" si="71"/>
        <v/>
      </c>
      <c r="I274" s="174" t="str">
        <f t="shared" si="71"/>
        <v/>
      </c>
      <c r="J274" s="174" t="str">
        <f t="shared" si="71"/>
        <v/>
      </c>
      <c r="K274" s="174" t="str">
        <f t="shared" si="71"/>
        <v/>
      </c>
      <c r="L274" s="174" t="str">
        <f t="shared" si="71"/>
        <v/>
      </c>
      <c r="M274" s="174" t="str">
        <f t="shared" si="71"/>
        <v/>
      </c>
      <c r="N274" s="174" t="str">
        <f t="shared" si="71"/>
        <v/>
      </c>
      <c r="O274" s="174" t="str">
        <f t="shared" si="71"/>
        <v/>
      </c>
      <c r="P274" s="174" t="str">
        <f t="shared" si="71"/>
        <v/>
      </c>
      <c r="Q274" s="174" t="str">
        <f t="shared" si="71"/>
        <v/>
      </c>
      <c r="R274" s="174" t="str">
        <f t="shared" si="71"/>
        <v/>
      </c>
      <c r="S274" s="174" t="str">
        <f t="shared" si="71"/>
        <v/>
      </c>
      <c r="T274" s="174" t="str">
        <f t="shared" si="71"/>
        <v/>
      </c>
      <c r="U274" s="174" t="str">
        <f t="shared" si="71"/>
        <v/>
      </c>
      <c r="V274" s="174" t="str">
        <f t="shared" si="71"/>
        <v/>
      </c>
      <c r="W274" s="174" t="str">
        <f t="shared" si="71"/>
        <v/>
      </c>
      <c r="X274" s="174" t="str">
        <f t="shared" si="71"/>
        <v/>
      </c>
      <c r="Y274" s="174" t="str">
        <f t="shared" si="71"/>
        <v/>
      </c>
      <c r="Z274" s="174" t="str">
        <f t="shared" si="71"/>
        <v/>
      </c>
      <c r="AA274" s="174" t="str">
        <f t="shared" si="71"/>
        <v/>
      </c>
      <c r="AB274" s="174" t="str">
        <f t="shared" si="71"/>
        <v/>
      </c>
      <c r="AC274" s="174" t="str">
        <f t="shared" si="71"/>
        <v/>
      </c>
      <c r="AD274" s="174" t="str">
        <f t="shared" si="71"/>
        <v/>
      </c>
      <c r="AE274" s="174" t="str">
        <f t="shared" si="71"/>
        <v/>
      </c>
      <c r="AF274" s="174" t="str">
        <f t="shared" si="71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141" priority="64">
      <formula>$AH11=0</formula>
    </cfRule>
  </conditionalFormatting>
  <conditionalFormatting sqref="B8 M8 S8 AB8">
    <cfRule type="expression" dxfId="1140" priority="115">
      <formula>AND(C$9&gt;=14/24,C$9&lt;20/24)</formula>
    </cfRule>
    <cfRule type="expression" dxfId="1139" priority="116">
      <formula>AND(C$9&gt;=8/24,C$9&lt;14/24)</formula>
    </cfRule>
    <cfRule type="expression" dxfId="1138" priority="117">
      <formula>C$9&lt;8/24</formula>
    </cfRule>
  </conditionalFormatting>
  <conditionalFormatting sqref="B54:C54">
    <cfRule type="expression" dxfId="1137" priority="38">
      <formula>B$9&gt;=20/24</formula>
    </cfRule>
    <cfRule type="expression" dxfId="1136" priority="39">
      <formula>AND(B$9&gt;=14/24,B$9&lt;20/24)</formula>
    </cfRule>
    <cfRule type="expression" dxfId="1135" priority="40">
      <formula>AND(B$9&gt;=8/24,B$9&lt;14/24)</formula>
    </cfRule>
    <cfRule type="expression" dxfId="1134" priority="41">
      <formula>B$9&lt;8/24</formula>
    </cfRule>
  </conditionalFormatting>
  <conditionalFormatting sqref="B54:C66 D55:E66 F60:L66">
    <cfRule type="expression" dxfId="1133" priority="33">
      <formula>B54&gt;$AG54</formula>
    </cfRule>
  </conditionalFormatting>
  <conditionalFormatting sqref="B55:E59">
    <cfRule type="expression" dxfId="1132" priority="60">
      <formula>B$9&gt;=20/24</formula>
    </cfRule>
    <cfRule type="expression" dxfId="1131" priority="61">
      <formula>AND(B$9&gt;=14/24,B$9&lt;20/24)</formula>
    </cfRule>
    <cfRule type="expression" dxfId="1130" priority="62">
      <formula>AND(B$9&gt;=8/24,B$9&lt;14/24)</formula>
    </cfRule>
    <cfRule type="expression" dxfId="1129" priority="63">
      <formula>B$9&lt;8/24</formula>
    </cfRule>
  </conditionalFormatting>
  <conditionalFormatting sqref="B60:X60">
    <cfRule type="expression" dxfId="1128" priority="51">
      <formula>B$9&gt;=20/24</formula>
    </cfRule>
    <cfRule type="expression" dxfId="1127" priority="52">
      <formula>AND(B$9&gt;=14/24,B$9&lt;20/24)</formula>
    </cfRule>
    <cfRule type="expression" dxfId="1126" priority="53">
      <formula>AND(B$9&gt;=8/24,B$9&lt;14/24)</formula>
    </cfRule>
    <cfRule type="expression" dxfId="1125" priority="54">
      <formula>B$9&lt;8/24</formula>
    </cfRule>
  </conditionalFormatting>
  <conditionalFormatting sqref="B61:AF66">
    <cfRule type="expression" dxfId="1124" priority="34">
      <formula>B$9&gt;=20/24</formula>
    </cfRule>
    <cfRule type="expression" dxfId="1123" priority="35">
      <formula>AND(B$9&gt;=14/24,B$9&lt;20/24)</formula>
    </cfRule>
    <cfRule type="expression" dxfId="1122" priority="36">
      <formula>AND(B$9&gt;=8/24,B$9&lt;14/24)</formula>
    </cfRule>
    <cfRule type="expression" dxfId="1121" priority="37">
      <formula>B$9&lt;8/24</formula>
    </cfRule>
  </conditionalFormatting>
  <conditionalFormatting sqref="B9:AF45">
    <cfRule type="expression" dxfId="1120" priority="23">
      <formula>B$9&gt;=20/24</formula>
    </cfRule>
    <cfRule type="expression" dxfId="1119" priority="24">
      <formula>AND(B$9&gt;=14/24,B$9&lt;20/24)</formula>
    </cfRule>
    <cfRule type="expression" dxfId="1118" priority="25">
      <formula>AND(B$9&gt;=8/24,B$9&lt;14/24)</formula>
    </cfRule>
    <cfRule type="expression" dxfId="1117" priority="26">
      <formula>B$9&lt;8/24</formula>
    </cfRule>
  </conditionalFormatting>
  <conditionalFormatting sqref="B11:AF46">
    <cfRule type="expression" dxfId="1116" priority="22">
      <formula>B11&gt;$AG11</formula>
    </cfRule>
  </conditionalFormatting>
  <conditionalFormatting sqref="B46:AF46">
    <cfRule type="expression" dxfId="1115" priority="18">
      <formula>B$9&gt;=20/24</formula>
    </cfRule>
    <cfRule type="expression" dxfId="1114" priority="19">
      <formula>AND(B$9&gt;=14/24,B$9&lt;20/24)</formula>
    </cfRule>
    <cfRule type="expression" dxfId="1113" priority="20">
      <formula>AND(B$9&gt;=8/24,B$9&lt;14/24)</formula>
    </cfRule>
    <cfRule type="expression" dxfId="1112" priority="21">
      <formula>B$9&lt;8/24</formula>
    </cfRule>
  </conditionalFormatting>
  <conditionalFormatting sqref="B47:AF47">
    <cfRule type="expression" dxfId="1111" priority="32">
      <formula>B47&gt;$AG47</formula>
    </cfRule>
  </conditionalFormatting>
  <conditionalFormatting sqref="B47:AF49">
    <cfRule type="expression" dxfId="1110" priority="28">
      <formula>B$9&gt;=20/24</formula>
    </cfRule>
    <cfRule type="expression" dxfId="1109" priority="29">
      <formula>AND(B$9&gt;=14/24,B$9&lt;20/24)</formula>
    </cfRule>
    <cfRule type="expression" dxfId="1108" priority="30">
      <formula>AND(B$9&gt;=8/24,B$9&lt;14/24)</formula>
    </cfRule>
    <cfRule type="expression" dxfId="1107" priority="31">
      <formula>B$9&lt;8/24</formula>
    </cfRule>
  </conditionalFormatting>
  <conditionalFormatting sqref="B48:AF53">
    <cfRule type="expression" dxfId="1106" priority="27">
      <formula>B48&gt;$AG48</formula>
    </cfRule>
  </conditionalFormatting>
  <conditionalFormatting sqref="B51:AF53">
    <cfRule type="expression" dxfId="1105" priority="47">
      <formula>B$9&gt;=20/24</formula>
    </cfRule>
    <cfRule type="expression" dxfId="1104" priority="48">
      <formula>AND(B$9&gt;=14/24,B$9&lt;20/24)</formula>
    </cfRule>
    <cfRule type="expression" dxfId="1103" priority="49">
      <formula>AND(B$9&gt;=8/24,B$9&lt;14/24)</formula>
    </cfRule>
    <cfRule type="expression" dxfId="1102" priority="50">
      <formula>B$9&lt;8/24</formula>
    </cfRule>
  </conditionalFormatting>
  <conditionalFormatting sqref="B69:AF71">
    <cfRule type="expression" dxfId="1101" priority="55">
      <formula>B69&gt;$AG69</formula>
    </cfRule>
    <cfRule type="expression" dxfId="1100" priority="56">
      <formula>B$9&gt;=20/24</formula>
    </cfRule>
    <cfRule type="expression" dxfId="1099" priority="57">
      <formula>AND(B$9&gt;=14/24,B$9&lt;20/24)</formula>
    </cfRule>
    <cfRule type="expression" dxfId="1098" priority="58">
      <formula>AND(B$9&gt;=8/24,B$9&lt;14/24)</formula>
    </cfRule>
    <cfRule type="expression" dxfId="1097" priority="59">
      <formula>B$9&lt;8/24</formula>
    </cfRule>
  </conditionalFormatting>
  <conditionalFormatting sqref="B73:AF91">
    <cfRule type="expression" dxfId="1096" priority="1">
      <formula>B$9&gt;=20/24</formula>
    </cfRule>
    <cfRule type="expression" dxfId="1095" priority="2">
      <formula>AND(B$9&gt;=14/24,B$9&lt;20/24)</formula>
    </cfRule>
    <cfRule type="expression" dxfId="1094" priority="3">
      <formula>AND(B$9&gt;=8/24,B$9&lt;14/24)</formula>
    </cfRule>
    <cfRule type="expression" dxfId="1093" priority="4">
      <formula>B$9&lt;8/24</formula>
    </cfRule>
  </conditionalFormatting>
  <conditionalFormatting sqref="B111:AF120">
    <cfRule type="expression" dxfId="1092" priority="14">
      <formula>B$9&gt;=20/24</formula>
    </cfRule>
    <cfRule type="expression" dxfId="1091" priority="15">
      <formula>AND(B$9&gt;=14/24,B$9&lt;20/24)</formula>
    </cfRule>
    <cfRule type="expression" dxfId="1090" priority="16">
      <formula>AND(B$9&gt;=8/24,B$9&lt;14/24)</formula>
    </cfRule>
    <cfRule type="expression" dxfId="1089" priority="17">
      <formula>B$9&lt;8/24</formula>
    </cfRule>
  </conditionalFormatting>
  <conditionalFormatting sqref="B227:AF227 D229:AF230 B229:B235 D231:H231 J231:AF231 D232:AF235 U248:AF248">
    <cfRule type="expression" dxfId="1088" priority="108">
      <formula>B$9&gt;=20/24</formula>
    </cfRule>
    <cfRule type="expression" dxfId="1087" priority="109">
      <formula>AND(B$9&gt;=14/24,B$9&lt;20/24)</formula>
    </cfRule>
    <cfRule type="expression" dxfId="1086" priority="110">
      <formula>AND(B$9&gt;=8/24,B$9&lt;14/24)</formula>
    </cfRule>
    <cfRule type="expression" dxfId="1085" priority="111">
      <formula>B$9&lt;8/24</formula>
    </cfRule>
  </conditionalFormatting>
  <conditionalFormatting sqref="B67:AG68 B72:AG72">
    <cfRule type="expression" dxfId="1084" priority="42">
      <formula>B67&gt;$AG67</formula>
    </cfRule>
  </conditionalFormatting>
  <conditionalFormatting sqref="B72:AG72 B93:AF109">
    <cfRule type="expression" dxfId="1083" priority="43">
      <formula>B$9&gt;=20/24</formula>
    </cfRule>
    <cfRule type="expression" dxfId="1082" priority="44">
      <formula>AND(B$9&gt;=14/24,B$9&lt;20/24)</formula>
    </cfRule>
    <cfRule type="expression" dxfId="1081" priority="45">
      <formula>AND(B$9&gt;=8/24,B$9&lt;14/24)</formula>
    </cfRule>
    <cfRule type="expression" dxfId="1080" priority="46">
      <formula>B$9&lt;8/24</formula>
    </cfRule>
  </conditionalFormatting>
  <conditionalFormatting sqref="M60:M66 F55:M59 N55:AF66">
    <cfRule type="expression" dxfId="1079" priority="5">
      <formula>F55&gt;$AG55</formula>
    </cfRule>
  </conditionalFormatting>
  <conditionalFormatting sqref="D54:AG54">
    <cfRule type="expression" dxfId="1078" priority="76">
      <formula>D54&gt;$AG54</formula>
    </cfRule>
    <cfRule type="expression" dxfId="1077" priority="77">
      <formula>D$9&gt;=20/24</formula>
    </cfRule>
    <cfRule type="expression" dxfId="1076" priority="78">
      <formula>AND(D$9&gt;=14/24,D$9&lt;20/24)</formula>
    </cfRule>
    <cfRule type="expression" dxfId="1075" priority="79">
      <formula>AND(D$9&gt;=8/24,D$9&lt;14/24)</formula>
    </cfRule>
    <cfRule type="expression" dxfId="1074" priority="80">
      <formula>D$9&lt;8/24</formula>
    </cfRule>
  </conditionalFormatting>
  <conditionalFormatting sqref="F55:L57">
    <cfRule type="expression" dxfId="1073" priority="89">
      <formula>F$9&gt;=20/24</formula>
    </cfRule>
    <cfRule type="expression" dxfId="1072" priority="90">
      <formula>AND(F$9&gt;=14/24,F$9&lt;20/24)</formula>
    </cfRule>
    <cfRule type="expression" dxfId="1071" priority="91">
      <formula>AND(F$9&gt;=8/24,F$9&lt;14/24)</formula>
    </cfRule>
    <cfRule type="expression" dxfId="1070" priority="92">
      <formula>F$9&lt;8/24</formula>
    </cfRule>
  </conditionalFormatting>
  <conditionalFormatting sqref="M55:X59">
    <cfRule type="expression" dxfId="1069" priority="93">
      <formula>M$9&gt;=20/24</formula>
    </cfRule>
    <cfRule type="expression" dxfId="1068" priority="94">
      <formula>AND(M$9&gt;=14/24,M$9&lt;20/24)</formula>
    </cfRule>
    <cfRule type="expression" dxfId="1067" priority="95">
      <formula>AND(M$9&gt;=8/24,M$9&lt;14/24)</formula>
    </cfRule>
    <cfRule type="expression" dxfId="1066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065" priority="114">
      <formula>C$9&gt;=20/24</formula>
    </cfRule>
  </conditionalFormatting>
  <conditionalFormatting sqref="S8">
    <cfRule type="expression" dxfId="1064" priority="101">
      <formula>U$9&gt;=20/24</formula>
    </cfRule>
    <cfRule type="expression" dxfId="1063" priority="102">
      <formula>AND(U$9&gt;=14/24,U$9&lt;20/24)</formula>
    </cfRule>
    <cfRule type="expression" dxfId="1062" priority="103">
      <formula>AND(U$9&gt;=8/24,U$9&lt;14/24)</formula>
    </cfRule>
    <cfRule type="expression" dxfId="1061" priority="104">
      <formula>U$9&lt;8/24</formula>
    </cfRule>
  </conditionalFormatting>
  <conditionalFormatting sqref="Y55:AF60">
    <cfRule type="expression" dxfId="1060" priority="10">
      <formula>Y$9&gt;=20/24</formula>
    </cfRule>
    <cfRule type="expression" dxfId="1059" priority="11">
      <formula>AND(Y$9&gt;=14/24,Y$9&lt;20/24)</formula>
    </cfRule>
    <cfRule type="expression" dxfId="1058" priority="12">
      <formula>AND(Y$9&gt;=8/24,Y$9&lt;14/24)</formula>
    </cfRule>
    <cfRule type="expression" dxfId="1057" priority="13">
      <formula>Y$9&lt;8/24</formula>
    </cfRule>
  </conditionalFormatting>
  <conditionalFormatting sqref="T248">
    <cfRule type="expression" dxfId="1056" priority="126">
      <formula>AX$9&gt;=20/24</formula>
    </cfRule>
    <cfRule type="expression" dxfId="1055" priority="127">
      <formula>AND(AX$9&gt;=14/24,AX$9&lt;20/24)</formula>
    </cfRule>
    <cfRule type="expression" dxfId="1054" priority="128">
      <formula>AND(AX$9&gt;=8/24,AX$9&lt;14/24)</formula>
    </cfRule>
    <cfRule type="expression" dxfId="1053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052" priority="97">
      <formula>AD$9&gt;=20/24</formula>
    </cfRule>
    <cfRule type="expression" dxfId="1051" priority="98">
      <formula>AND(AD$9&gt;=14/24,AD$9&lt;20/24)</formula>
    </cfRule>
    <cfRule type="expression" dxfId="1050" priority="99">
      <formula>AND(AD$9&gt;=8/24,AD$9&lt;14/24)</formula>
    </cfRule>
    <cfRule type="expression" dxfId="1049" priority="100">
      <formula>AD$9&lt;8/24</formula>
    </cfRule>
  </conditionalFormatting>
  <conditionalFormatting sqref="AE61:AF66">
    <cfRule type="expression" dxfId="1048" priority="6">
      <formula>AE$9&gt;=20/24</formula>
    </cfRule>
    <cfRule type="expression" dxfId="1047" priority="7">
      <formula>AND(AE$9&gt;=14/24,AE$9&lt;20/24)</formula>
    </cfRule>
    <cfRule type="expression" dxfId="1046" priority="8">
      <formula>AND(AE$9&gt;=8/24,AE$9&lt;14/24)</formula>
    </cfRule>
    <cfRule type="expression" dxfId="1045" priority="9">
      <formula>AE$9&lt;8/24</formula>
    </cfRule>
  </conditionalFormatting>
  <conditionalFormatting sqref="AG50">
    <cfRule type="expression" dxfId="1044" priority="84">
      <formula>AG50&gt;$AG50</formula>
    </cfRule>
  </conditionalFormatting>
  <conditionalFormatting sqref="AG89">
    <cfRule type="expression" dxfId="1043" priority="85">
      <formula>AG$9&gt;=20/24</formula>
    </cfRule>
    <cfRule type="expression" dxfId="1042" priority="86">
      <formula>AND(AG$9&gt;=14/24,AG$9&lt;20/24)</formula>
    </cfRule>
    <cfRule type="expression" dxfId="1041" priority="87">
      <formula>AND(AG$9&gt;=8/24,AG$9&lt;14/24)</formula>
    </cfRule>
    <cfRule type="expression" dxfId="1040" priority="88">
      <formula>AG$9&lt;8/24</formula>
    </cfRule>
  </conditionalFormatting>
  <conditionalFormatting sqref="AG248">
    <cfRule type="expression" dxfId="1039" priority="118">
      <formula>B$9&gt;=20/24</formula>
    </cfRule>
    <cfRule type="expression" dxfId="1038" priority="119">
      <formula>AND(B$9&gt;=14/24,B$9&lt;20/24)</formula>
    </cfRule>
    <cfRule type="expression" dxfId="1037" priority="120">
      <formula>AND(B$9&gt;=8/24,B$9&lt;14/24)</formula>
    </cfRule>
    <cfRule type="expression" dxfId="1036" priority="121">
      <formula>B$9&lt;8/24</formula>
    </cfRule>
  </conditionalFormatting>
  <conditionalFormatting sqref="AH248:AX248">
    <cfRule type="expression" dxfId="1035" priority="122">
      <formula>AG$9&gt;=20/24</formula>
    </cfRule>
    <cfRule type="expression" dxfId="1034" priority="123">
      <formula>AND(AG$9&gt;=14/24,AG$9&lt;20/24)</formula>
    </cfRule>
    <cfRule type="expression" dxfId="1033" priority="124">
      <formula>AND(AG$9&gt;=8/24,AG$9&lt;14/24)</formula>
    </cfRule>
    <cfRule type="expression" dxfId="1032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031" priority="131">
      <formula>AJ$9&gt;=20/24</formula>
    </cfRule>
    <cfRule type="expression" dxfId="1030" priority="132">
      <formula>AND(AJ$9&gt;=14/24,AJ$9&lt;20/24)</formula>
    </cfRule>
    <cfRule type="expression" dxfId="1029" priority="133">
      <formula>AND(AJ$9&gt;=8/24,AJ$9&lt;14/24)</formula>
    </cfRule>
    <cfRule type="expression" dxfId="1028" priority="134">
      <formula>AJ$9&lt;8/24</formula>
    </cfRule>
  </conditionalFormatting>
  <conditionalFormatting sqref="AL80:AN80 AL86:AN86">
    <cfRule type="expression" dxfId="1027" priority="72">
      <formula>AL$9&gt;=20/24</formula>
    </cfRule>
    <cfRule type="expression" dxfId="1026" priority="73">
      <formula>AND(AL$9&gt;=14/24,AL$9&lt;20/24)</formula>
    </cfRule>
    <cfRule type="expression" dxfId="1025" priority="74">
      <formula>AND(AL$9&gt;=8/24,AL$9&lt;14/24)</formula>
    </cfRule>
    <cfRule type="expression" dxfId="1024" priority="75">
      <formula>AL$9&lt;8/24</formula>
    </cfRule>
  </conditionalFormatting>
  <conditionalFormatting sqref="AN81:AN84">
    <cfRule type="expression" dxfId="1023" priority="68">
      <formula>AN$9&gt;=20/24</formula>
    </cfRule>
    <cfRule type="expression" dxfId="1022" priority="69">
      <formula>AND(AN$9&gt;=14/24,AN$9&lt;20/24)</formula>
    </cfRule>
    <cfRule type="expression" dxfId="1021" priority="70">
      <formula>AND(AN$9&gt;=8/24,AN$9&lt;14/24)</formula>
    </cfRule>
    <cfRule type="expression" dxfId="1020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C2A7A-ACD7-480F-94CD-F8A5F2933141}">
  <sheetPr codeName="Sheet48"/>
  <dimension ref="A1:CJ281"/>
  <sheetViews>
    <sheetView workbookViewId="0">
      <pane xSplit="1" ySplit="10" topLeftCell="B73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B75" sqref="B75:W75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2080/06/24</v>
      </c>
      <c r="C4" s="201"/>
      <c r="D4" s="201"/>
      <c r="E4" s="202" t="str">
        <f ca="1">"2080/"&amp;"06/"&amp;INT(MID(CELL("filename",G6),FIND("]",CELL("filename",G6))+1,200))</f>
        <v>2080/06/24</v>
      </c>
      <c r="F4" s="202"/>
      <c r="G4" s="202"/>
      <c r="H4" s="202" t="str">
        <f ca="1">TEXT(E4,"dddd")</f>
        <v>Monday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2186MW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Load=1951</v>
      </c>
      <c r="B7" s="35">
        <f t="shared" ref="B7:AF7" si="1">B91</f>
        <v>1951.4400000000003</v>
      </c>
      <c r="C7" s="35">
        <f t="shared" si="1"/>
        <v>1951.4400000000003</v>
      </c>
      <c r="D7" s="35">
        <f t="shared" si="1"/>
        <v>1966.4400000000003</v>
      </c>
      <c r="E7" s="35">
        <f t="shared" si="1"/>
        <v>1951.4400000000003</v>
      </c>
      <c r="F7" s="35">
        <f t="shared" si="1"/>
        <v>1961.4400000000003</v>
      </c>
      <c r="G7" s="35">
        <f t="shared" si="1"/>
        <v>1959.6400000000003</v>
      </c>
      <c r="H7" s="35">
        <f t="shared" si="1"/>
        <v>1995.2399999999998</v>
      </c>
      <c r="I7" s="35">
        <f t="shared" si="1"/>
        <v>2035.34</v>
      </c>
      <c r="J7" s="35">
        <f t="shared" si="1"/>
        <v>2056.3399999999997</v>
      </c>
      <c r="K7" s="35">
        <f t="shared" si="1"/>
        <v>2102.04</v>
      </c>
      <c r="L7" s="35">
        <f t="shared" si="1"/>
        <v>2185.64</v>
      </c>
      <c r="M7" s="35">
        <f t="shared" si="1"/>
        <v>2162.54</v>
      </c>
      <c r="N7" s="35">
        <f>N91</f>
        <v>2024.7399999999998</v>
      </c>
      <c r="O7" s="35">
        <f t="shared" si="1"/>
        <v>2019.1400000000003</v>
      </c>
      <c r="P7" s="35">
        <f t="shared" si="1"/>
        <v>1969.54</v>
      </c>
      <c r="Q7" s="35">
        <f t="shared" si="1"/>
        <v>2076.44</v>
      </c>
      <c r="R7" s="35">
        <f t="shared" si="1"/>
        <v>2106.04</v>
      </c>
      <c r="S7" s="35">
        <f t="shared" si="1"/>
        <v>1998.04</v>
      </c>
      <c r="T7" s="35">
        <f t="shared" si="1"/>
        <v>2018.1399999999999</v>
      </c>
      <c r="U7" s="35">
        <f t="shared" si="1"/>
        <v>2027.84</v>
      </c>
      <c r="V7" s="35">
        <f t="shared" si="1"/>
        <v>2041.6399999999999</v>
      </c>
      <c r="W7" s="35">
        <f t="shared" si="1"/>
        <v>2063.7399999999998</v>
      </c>
      <c r="X7" s="35">
        <f t="shared" si="1"/>
        <v>2160.94</v>
      </c>
      <c r="Y7" s="35">
        <f t="shared" si="1"/>
        <v>2228.54</v>
      </c>
      <c r="Z7" s="35">
        <f t="shared" si="1"/>
        <v>2217.54</v>
      </c>
      <c r="AA7" s="35">
        <f t="shared" si="1"/>
        <v>2212.54</v>
      </c>
      <c r="AB7" s="35">
        <f t="shared" si="1"/>
        <v>2127.34</v>
      </c>
      <c r="AC7" s="35">
        <f t="shared" si="1"/>
        <v>2089.64</v>
      </c>
      <c r="AD7" s="35">
        <f t="shared" si="1"/>
        <v>2089.64</v>
      </c>
      <c r="AE7" s="35">
        <f t="shared" si="1"/>
        <v>2061.1400000000003</v>
      </c>
      <c r="AF7" s="35">
        <f t="shared" si="1"/>
        <v>2024.14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90.2</v>
      </c>
      <c r="C11" s="45">
        <v>90.2</v>
      </c>
      <c r="D11" s="45">
        <v>90.2</v>
      </c>
      <c r="E11" s="45">
        <v>90.2</v>
      </c>
      <c r="F11" s="45">
        <v>90.2</v>
      </c>
      <c r="G11" s="45">
        <v>90.2</v>
      </c>
      <c r="H11" s="45">
        <v>90.2</v>
      </c>
      <c r="I11" s="45">
        <v>90.2</v>
      </c>
      <c r="J11" s="45">
        <v>90.2</v>
      </c>
      <c r="K11" s="45">
        <v>90.2</v>
      </c>
      <c r="L11" s="45">
        <v>90.2</v>
      </c>
      <c r="M11" s="45">
        <v>90.4</v>
      </c>
      <c r="N11" s="45">
        <v>90.4</v>
      </c>
      <c r="O11" s="45">
        <v>90.4</v>
      </c>
      <c r="P11" s="45">
        <v>60.2</v>
      </c>
      <c r="Q11" s="45">
        <v>60.3</v>
      </c>
      <c r="R11" s="45">
        <v>90.5</v>
      </c>
      <c r="S11" s="45">
        <v>90.5</v>
      </c>
      <c r="T11" s="45">
        <v>90.5</v>
      </c>
      <c r="U11" s="45">
        <v>90.5</v>
      </c>
      <c r="V11" s="45">
        <v>90.5</v>
      </c>
      <c r="W11" s="45">
        <v>90.5</v>
      </c>
      <c r="X11" s="45">
        <v>90.5</v>
      </c>
      <c r="Y11" s="45">
        <v>90.5</v>
      </c>
      <c r="Z11" s="45">
        <v>90.5</v>
      </c>
      <c r="AA11" s="45">
        <v>90.5</v>
      </c>
      <c r="AB11" s="45">
        <v>90.5</v>
      </c>
      <c r="AC11" s="45">
        <v>90.5</v>
      </c>
      <c r="AD11" s="45">
        <v>90.5</v>
      </c>
      <c r="AE11" s="45">
        <v>90.5</v>
      </c>
      <c r="AF11" s="45">
        <v>90.5</v>
      </c>
      <c r="AG11" s="46">
        <v>86</v>
      </c>
      <c r="AH11" s="47">
        <f t="shared" ref="AH11:AH76" si="2">MAX(B11:AF11)</f>
        <v>90.5</v>
      </c>
      <c r="AI11" s="48">
        <f t="shared" ref="AI11:AI76" si="3">MIN(B11:AF11)</f>
        <v>60.2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8</v>
      </c>
      <c r="E12" s="45">
        <v>8</v>
      </c>
      <c r="F12" s="45">
        <v>13</v>
      </c>
      <c r="G12" s="45">
        <v>13</v>
      </c>
      <c r="H12" s="45">
        <v>13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8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27</v>
      </c>
      <c r="C13" s="45">
        <v>27</v>
      </c>
      <c r="D13" s="45">
        <v>27</v>
      </c>
      <c r="E13" s="45">
        <v>27</v>
      </c>
      <c r="F13" s="45">
        <v>27</v>
      </c>
      <c r="G13" s="45">
        <v>27</v>
      </c>
      <c r="H13" s="45">
        <v>27</v>
      </c>
      <c r="I13" s="45">
        <v>27</v>
      </c>
      <c r="J13" s="45">
        <v>27</v>
      </c>
      <c r="K13" s="45">
        <v>29.6</v>
      </c>
      <c r="L13" s="45">
        <v>40</v>
      </c>
      <c r="M13" s="45">
        <v>40.799999999999997</v>
      </c>
      <c r="N13" s="45">
        <v>40.799999999999997</v>
      </c>
      <c r="O13" s="45">
        <v>40.799999999999997</v>
      </c>
      <c r="P13" s="45">
        <v>45.9</v>
      </c>
      <c r="Q13" s="45">
        <v>45.9</v>
      </c>
      <c r="R13" s="45">
        <v>45.9</v>
      </c>
      <c r="S13" s="45">
        <v>0</v>
      </c>
      <c r="T13" s="45">
        <v>54.3</v>
      </c>
      <c r="U13" s="45">
        <v>54.3</v>
      </c>
      <c r="V13" s="45">
        <v>54.3</v>
      </c>
      <c r="W13" s="45">
        <v>54.3</v>
      </c>
      <c r="X13" s="45">
        <v>54.3</v>
      </c>
      <c r="Y13" s="45">
        <v>54.3</v>
      </c>
      <c r="Z13" s="45">
        <v>54.3</v>
      </c>
      <c r="AA13" s="45">
        <v>54.3</v>
      </c>
      <c r="AB13" s="45">
        <v>54.3</v>
      </c>
      <c r="AC13" s="45">
        <v>54.3</v>
      </c>
      <c r="AD13" s="45">
        <v>54.3</v>
      </c>
      <c r="AE13" s="45">
        <v>54.3</v>
      </c>
      <c r="AF13" s="45">
        <v>54.3</v>
      </c>
      <c r="AG13" s="46">
        <v>52.4</v>
      </c>
      <c r="AH13" s="47">
        <f t="shared" si="2"/>
        <v>54.3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50.3</v>
      </c>
      <c r="N14" s="58">
        <v>50.3</v>
      </c>
      <c r="O14" s="58">
        <v>50.3</v>
      </c>
      <c r="P14" s="58">
        <v>50.3</v>
      </c>
      <c r="Q14" s="58">
        <v>50.7</v>
      </c>
      <c r="R14" s="58">
        <v>50.7</v>
      </c>
      <c r="S14" s="58">
        <v>50.7</v>
      </c>
      <c r="T14" s="58">
        <v>50.7</v>
      </c>
      <c r="U14" s="58">
        <v>50.7</v>
      </c>
      <c r="V14" s="58">
        <v>50.7</v>
      </c>
      <c r="W14" s="58">
        <v>50.7</v>
      </c>
      <c r="X14" s="58">
        <v>50.7</v>
      </c>
      <c r="Y14" s="58">
        <v>50.7</v>
      </c>
      <c r="Z14" s="58">
        <v>50.7</v>
      </c>
      <c r="AA14" s="58">
        <v>50.7</v>
      </c>
      <c r="AB14" s="58">
        <v>50.7</v>
      </c>
      <c r="AC14" s="58">
        <v>50.7</v>
      </c>
      <c r="AD14" s="58">
        <v>50.7</v>
      </c>
      <c r="AE14" s="58">
        <v>50.7</v>
      </c>
      <c r="AF14" s="58">
        <v>50.7</v>
      </c>
      <c r="AG14" s="49">
        <v>50</v>
      </c>
      <c r="AH14" s="47">
        <f t="shared" si="2"/>
        <v>50.7</v>
      </c>
      <c r="AI14" s="48">
        <f t="shared" si="3"/>
        <v>50.3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</v>
      </c>
      <c r="C15" s="45">
        <v>36</v>
      </c>
      <c r="D15" s="45">
        <v>36</v>
      </c>
      <c r="E15" s="45">
        <v>36</v>
      </c>
      <c r="F15" s="45">
        <v>36</v>
      </c>
      <c r="G15" s="45">
        <v>36</v>
      </c>
      <c r="H15" s="45">
        <v>46.3</v>
      </c>
      <c r="I15" s="45">
        <v>46.3</v>
      </c>
      <c r="J15" s="45">
        <v>46.3</v>
      </c>
      <c r="K15" s="45">
        <v>46.3</v>
      </c>
      <c r="L15" s="45">
        <v>46.3</v>
      </c>
      <c r="M15" s="45">
        <v>46.3</v>
      </c>
      <c r="N15" s="45">
        <v>46.3</v>
      </c>
      <c r="O15" s="45">
        <v>46.3</v>
      </c>
      <c r="P15" s="45">
        <v>46.3</v>
      </c>
      <c r="Q15" s="45">
        <v>46.1</v>
      </c>
      <c r="R15" s="45">
        <v>46.1</v>
      </c>
      <c r="S15" s="45">
        <v>46.1</v>
      </c>
      <c r="T15" s="45">
        <v>46.1</v>
      </c>
      <c r="U15" s="45">
        <v>46.1</v>
      </c>
      <c r="V15" s="45">
        <v>46.1</v>
      </c>
      <c r="W15" s="45">
        <v>46.1</v>
      </c>
      <c r="X15" s="45">
        <v>46.1</v>
      </c>
      <c r="Y15" s="45">
        <v>46.1</v>
      </c>
      <c r="Z15" s="45">
        <v>46.1</v>
      </c>
      <c r="AA15" s="45">
        <v>46.1</v>
      </c>
      <c r="AB15" s="45">
        <v>46.1</v>
      </c>
      <c r="AC15" s="45">
        <v>46.1</v>
      </c>
      <c r="AD15" s="45">
        <v>46.1</v>
      </c>
      <c r="AE15" s="45">
        <v>46.1</v>
      </c>
      <c r="AF15" s="45">
        <v>46.1</v>
      </c>
      <c r="AG15" s="49">
        <v>45</v>
      </c>
      <c r="AH15" s="47">
        <f t="shared" si="2"/>
        <v>46.3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36</v>
      </c>
      <c r="E17" s="45">
        <v>36</v>
      </c>
      <c r="F17" s="45">
        <v>36</v>
      </c>
      <c r="G17" s="45">
        <v>36</v>
      </c>
      <c r="H17" s="45">
        <v>36</v>
      </c>
      <c r="I17" s="45">
        <v>36</v>
      </c>
      <c r="J17" s="45">
        <v>40</v>
      </c>
      <c r="K17" s="45">
        <v>42</v>
      </c>
      <c r="L17" s="45">
        <v>42</v>
      </c>
      <c r="M17" s="45">
        <v>42</v>
      </c>
      <c r="N17" s="45">
        <v>42</v>
      </c>
      <c r="O17" s="45">
        <v>38</v>
      </c>
      <c r="P17" s="45">
        <v>35</v>
      </c>
      <c r="Q17" s="45">
        <v>35</v>
      </c>
      <c r="R17" s="45">
        <v>35</v>
      </c>
      <c r="S17" s="45">
        <v>39</v>
      </c>
      <c r="T17" s="45">
        <v>39</v>
      </c>
      <c r="U17" s="45">
        <v>32</v>
      </c>
      <c r="V17" s="45">
        <v>32</v>
      </c>
      <c r="W17" s="45">
        <v>32</v>
      </c>
      <c r="X17" s="45">
        <v>42</v>
      </c>
      <c r="Y17" s="45">
        <v>42</v>
      </c>
      <c r="Z17" s="45">
        <v>36</v>
      </c>
      <c r="AA17" s="45">
        <v>36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42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24</v>
      </c>
      <c r="C18" s="45">
        <v>24</v>
      </c>
      <c r="D18" s="45">
        <v>24</v>
      </c>
      <c r="E18" s="45">
        <v>24</v>
      </c>
      <c r="F18" s="45">
        <v>24</v>
      </c>
      <c r="G18" s="45">
        <v>24</v>
      </c>
      <c r="H18" s="45">
        <v>24</v>
      </c>
      <c r="I18" s="45">
        <v>24</v>
      </c>
      <c r="J18" s="45">
        <v>24</v>
      </c>
      <c r="K18" s="45">
        <v>24</v>
      </c>
      <c r="L18" s="45">
        <v>24</v>
      </c>
      <c r="M18" s="45">
        <v>24</v>
      </c>
      <c r="N18" s="45">
        <v>24</v>
      </c>
      <c r="O18" s="45">
        <v>24</v>
      </c>
      <c r="P18" s="45">
        <v>24</v>
      </c>
      <c r="Q18" s="45">
        <v>24</v>
      </c>
      <c r="R18" s="45">
        <v>24</v>
      </c>
      <c r="S18" s="45">
        <v>24</v>
      </c>
      <c r="T18" s="45">
        <v>24</v>
      </c>
      <c r="U18" s="45">
        <v>24</v>
      </c>
      <c r="V18" s="45">
        <v>24</v>
      </c>
      <c r="W18" s="45">
        <v>24</v>
      </c>
      <c r="X18" s="45">
        <v>24</v>
      </c>
      <c r="Y18" s="45">
        <v>24</v>
      </c>
      <c r="Z18" s="45">
        <v>24</v>
      </c>
      <c r="AA18" s="45">
        <v>24</v>
      </c>
      <c r="AB18" s="45">
        <v>24</v>
      </c>
      <c r="AC18" s="45">
        <v>24</v>
      </c>
      <c r="AD18" s="45">
        <v>24</v>
      </c>
      <c r="AE18" s="45">
        <v>24</v>
      </c>
      <c r="AF18" s="45">
        <v>24</v>
      </c>
      <c r="AG18" s="49">
        <v>38.46</v>
      </c>
      <c r="AH18" s="47">
        <f t="shared" si="2"/>
        <v>24</v>
      </c>
      <c r="AI18" s="48">
        <f t="shared" si="3"/>
        <v>24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10</v>
      </c>
      <c r="C20" s="45">
        <v>10</v>
      </c>
      <c r="D20" s="45">
        <v>10</v>
      </c>
      <c r="E20" s="45">
        <v>10</v>
      </c>
      <c r="F20" s="45">
        <v>10</v>
      </c>
      <c r="G20" s="45">
        <v>10</v>
      </c>
      <c r="H20" s="45">
        <v>15</v>
      </c>
      <c r="I20" s="45">
        <v>25</v>
      </c>
      <c r="J20" s="45">
        <v>30</v>
      </c>
      <c r="K20" s="45">
        <v>30</v>
      </c>
      <c r="L20" s="45">
        <v>30</v>
      </c>
      <c r="M20" s="45">
        <v>30</v>
      </c>
      <c r="N20" s="45">
        <v>30</v>
      </c>
      <c r="O20" s="45">
        <v>21</v>
      </c>
      <c r="P20" s="45">
        <v>21</v>
      </c>
      <c r="Q20" s="45">
        <v>21</v>
      </c>
      <c r="R20" s="45">
        <v>21</v>
      </c>
      <c r="S20" s="45">
        <v>18</v>
      </c>
      <c r="T20" s="45">
        <v>25.3</v>
      </c>
      <c r="U20" s="45">
        <v>25.3</v>
      </c>
      <c r="V20" s="45">
        <v>30.1</v>
      </c>
      <c r="W20" s="45">
        <v>30.1</v>
      </c>
      <c r="X20" s="45">
        <v>30.1</v>
      </c>
      <c r="Y20" s="45">
        <v>30.1</v>
      </c>
      <c r="Z20" s="45">
        <v>30.1</v>
      </c>
      <c r="AA20" s="45">
        <v>30.1</v>
      </c>
      <c r="AB20" s="45">
        <v>30.1</v>
      </c>
      <c r="AC20" s="45">
        <v>30.1</v>
      </c>
      <c r="AD20" s="45">
        <v>30.1</v>
      </c>
      <c r="AE20" s="45">
        <v>20</v>
      </c>
      <c r="AF20" s="45">
        <v>15</v>
      </c>
      <c r="AG20" s="51">
        <v>30</v>
      </c>
      <c r="AH20" s="47">
        <f t="shared" si="2"/>
        <v>30.1</v>
      </c>
      <c r="AI20" s="48">
        <f t="shared" si="3"/>
        <v>10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15</v>
      </c>
      <c r="C21" s="45">
        <v>15</v>
      </c>
      <c r="D21" s="45">
        <v>15</v>
      </c>
      <c r="E21" s="45">
        <v>15</v>
      </c>
      <c r="F21" s="45">
        <v>15</v>
      </c>
      <c r="G21" s="45">
        <v>15</v>
      </c>
      <c r="H21" s="45">
        <v>15</v>
      </c>
      <c r="I21" s="45">
        <v>15</v>
      </c>
      <c r="J21" s="45">
        <v>15</v>
      </c>
      <c r="K21" s="45">
        <v>15</v>
      </c>
      <c r="L21" s="45">
        <v>15</v>
      </c>
      <c r="M21" s="45">
        <v>16</v>
      </c>
      <c r="N21" s="45">
        <v>16</v>
      </c>
      <c r="O21" s="45">
        <v>16</v>
      </c>
      <c r="P21" s="45">
        <v>21</v>
      </c>
      <c r="Q21" s="45">
        <v>21</v>
      </c>
      <c r="R21" s="45">
        <v>21</v>
      </c>
      <c r="S21" s="45">
        <v>33.200000000000003</v>
      </c>
      <c r="T21" s="45">
        <v>33.200000000000003</v>
      </c>
      <c r="U21" s="45">
        <v>33.200000000000003</v>
      </c>
      <c r="V21" s="45">
        <v>33.200000000000003</v>
      </c>
      <c r="W21" s="45">
        <v>26</v>
      </c>
      <c r="X21" s="45">
        <v>26</v>
      </c>
      <c r="Y21" s="45">
        <v>26</v>
      </c>
      <c r="Z21" s="45">
        <v>26</v>
      </c>
      <c r="AA21" s="45">
        <v>26</v>
      </c>
      <c r="AB21" s="45">
        <v>26</v>
      </c>
      <c r="AC21" s="45">
        <v>26</v>
      </c>
      <c r="AD21" s="45">
        <v>26</v>
      </c>
      <c r="AE21" s="45">
        <v>26</v>
      </c>
      <c r="AF21" s="45">
        <v>26</v>
      </c>
      <c r="AG21" s="49">
        <v>24.2</v>
      </c>
      <c r="AH21" s="47">
        <f t="shared" si="2"/>
        <v>33.200000000000003</v>
      </c>
      <c r="AI21" s="48">
        <f t="shared" si="3"/>
        <v>15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15</v>
      </c>
      <c r="C22" s="45">
        <v>15</v>
      </c>
      <c r="D22" s="45">
        <v>15</v>
      </c>
      <c r="E22" s="45">
        <v>15</v>
      </c>
      <c r="F22" s="45">
        <v>15</v>
      </c>
      <c r="G22" s="45">
        <v>15</v>
      </c>
      <c r="H22" s="45">
        <v>15</v>
      </c>
      <c r="I22" s="45">
        <v>15</v>
      </c>
      <c r="J22" s="45">
        <v>15</v>
      </c>
      <c r="K22" s="45">
        <v>15</v>
      </c>
      <c r="L22" s="45">
        <v>15</v>
      </c>
      <c r="M22" s="45">
        <v>15</v>
      </c>
      <c r="N22" s="45">
        <v>15</v>
      </c>
      <c r="O22" s="45">
        <v>15</v>
      </c>
      <c r="P22" s="45">
        <v>18</v>
      </c>
      <c r="Q22" s="45">
        <v>18</v>
      </c>
      <c r="R22" s="45">
        <v>18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>
        <v>28</v>
      </c>
      <c r="AE22" s="45">
        <v>28</v>
      </c>
      <c r="AF22" s="45">
        <v>28</v>
      </c>
      <c r="AG22" s="49">
        <v>28</v>
      </c>
      <c r="AH22" s="47">
        <f t="shared" si="2"/>
        <v>28</v>
      </c>
      <c r="AI22" s="48">
        <f t="shared" si="3"/>
        <v>15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9</v>
      </c>
      <c r="C23" s="45">
        <v>9</v>
      </c>
      <c r="D23" s="45">
        <v>9</v>
      </c>
      <c r="E23" s="45">
        <v>9</v>
      </c>
      <c r="F23" s="45">
        <v>9</v>
      </c>
      <c r="G23" s="45">
        <v>9</v>
      </c>
      <c r="H23" s="45">
        <v>14</v>
      </c>
      <c r="I23" s="45">
        <v>22</v>
      </c>
      <c r="J23" s="45">
        <v>27</v>
      </c>
      <c r="K23" s="45">
        <v>27</v>
      </c>
      <c r="L23" s="45">
        <v>27</v>
      </c>
      <c r="M23" s="45">
        <v>27</v>
      </c>
      <c r="N23" s="45">
        <v>27</v>
      </c>
      <c r="O23" s="45">
        <f>0.7*27</f>
        <v>18.899999999999999</v>
      </c>
      <c r="P23" s="45">
        <f>0.7*27</f>
        <v>18.899999999999999</v>
      </c>
      <c r="Q23" s="45">
        <f>0.7*27</f>
        <v>18.899999999999999</v>
      </c>
      <c r="R23" s="45">
        <f>0.7*27</f>
        <v>18.899999999999999</v>
      </c>
      <c r="S23" s="45">
        <v>17.3</v>
      </c>
      <c r="T23" s="45">
        <v>17.3</v>
      </c>
      <c r="U23" s="45">
        <v>27</v>
      </c>
      <c r="V23" s="45">
        <v>27</v>
      </c>
      <c r="W23" s="45">
        <v>27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27</v>
      </c>
      <c r="AE23" s="45">
        <v>27</v>
      </c>
      <c r="AF23" s="45">
        <v>13</v>
      </c>
      <c r="AG23" s="51">
        <v>30</v>
      </c>
      <c r="AH23" s="47">
        <f t="shared" si="2"/>
        <v>27</v>
      </c>
      <c r="AI23" s="48">
        <f t="shared" si="3"/>
        <v>9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26</v>
      </c>
      <c r="N24" s="45">
        <v>26</v>
      </c>
      <c r="O24" s="45">
        <v>26</v>
      </c>
      <c r="P24" s="45">
        <v>24.2</v>
      </c>
      <c r="Q24" s="45">
        <v>24.2</v>
      </c>
      <c r="R24" s="45">
        <v>24.2</v>
      </c>
      <c r="S24" s="45">
        <v>26.2</v>
      </c>
      <c r="T24" s="45">
        <v>26.2</v>
      </c>
      <c r="U24" s="45">
        <v>26.2</v>
      </c>
      <c r="V24" s="45">
        <v>26.2</v>
      </c>
      <c r="W24" s="45">
        <v>26.2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24.5</v>
      </c>
      <c r="AG24" s="49">
        <v>25</v>
      </c>
      <c r="AH24" s="47">
        <f t="shared" si="2"/>
        <v>26.2</v>
      </c>
      <c r="AI24" s="48">
        <f t="shared" si="3"/>
        <v>24.2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5</v>
      </c>
      <c r="C27" s="45">
        <v>5</v>
      </c>
      <c r="D27" s="45">
        <v>5</v>
      </c>
      <c r="E27" s="45">
        <v>5</v>
      </c>
      <c r="F27" s="45">
        <v>5</v>
      </c>
      <c r="G27" s="45">
        <v>5</v>
      </c>
      <c r="H27" s="45">
        <v>13</v>
      </c>
      <c r="I27" s="45">
        <v>20</v>
      </c>
      <c r="J27" s="45">
        <v>25</v>
      </c>
      <c r="K27" s="45">
        <v>25</v>
      </c>
      <c r="L27" s="45">
        <v>25</v>
      </c>
      <c r="M27" s="45">
        <v>25</v>
      </c>
      <c r="N27" s="45">
        <v>25</v>
      </c>
      <c r="O27" s="45">
        <f t="shared" ref="O27:T27" si="4">0.7*25</f>
        <v>17.5</v>
      </c>
      <c r="P27" s="45">
        <f t="shared" si="4"/>
        <v>17.5</v>
      </c>
      <c r="Q27" s="45">
        <f t="shared" si="4"/>
        <v>17.5</v>
      </c>
      <c r="R27" s="45">
        <f t="shared" si="4"/>
        <v>17.5</v>
      </c>
      <c r="S27" s="45">
        <f t="shared" si="4"/>
        <v>17.5</v>
      </c>
      <c r="T27" s="45">
        <f t="shared" si="4"/>
        <v>17.5</v>
      </c>
      <c r="U27" s="45">
        <v>25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25</v>
      </c>
      <c r="AF27" s="45">
        <v>13</v>
      </c>
      <c r="AG27" s="49">
        <v>25</v>
      </c>
      <c r="AH27" s="47">
        <f t="shared" si="2"/>
        <v>25</v>
      </c>
      <c r="AI27" s="48">
        <f t="shared" si="3"/>
        <v>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25.3</v>
      </c>
      <c r="C28" s="45">
        <v>25.3</v>
      </c>
      <c r="D28" s="45">
        <v>25.3</v>
      </c>
      <c r="E28" s="45">
        <v>25.3</v>
      </c>
      <c r="F28" s="45">
        <v>25.3</v>
      </c>
      <c r="G28" s="45">
        <v>25.3</v>
      </c>
      <c r="H28" s="45">
        <v>25.3</v>
      </c>
      <c r="I28" s="45">
        <v>25.3</v>
      </c>
      <c r="J28" s="45">
        <v>25.3</v>
      </c>
      <c r="K28" s="45">
        <v>25.3</v>
      </c>
      <c r="L28" s="45">
        <v>25.3</v>
      </c>
      <c r="M28" s="45">
        <v>25.3</v>
      </c>
      <c r="N28" s="45">
        <v>25.3</v>
      </c>
      <c r="O28" s="45">
        <v>25.3</v>
      </c>
      <c r="P28" s="45">
        <v>25.3</v>
      </c>
      <c r="Q28" s="45">
        <v>25.3</v>
      </c>
      <c r="R28" s="45">
        <v>25.3</v>
      </c>
      <c r="S28" s="45">
        <v>25.3</v>
      </c>
      <c r="T28" s="45">
        <v>25.3</v>
      </c>
      <c r="U28" s="45">
        <v>25.3</v>
      </c>
      <c r="V28" s="45">
        <v>25.3</v>
      </c>
      <c r="W28" s="45">
        <v>25.3</v>
      </c>
      <c r="X28" s="45">
        <v>25.3</v>
      </c>
      <c r="Y28" s="45">
        <v>25.3</v>
      </c>
      <c r="Z28" s="45">
        <v>25.3</v>
      </c>
      <c r="AA28" s="45">
        <v>25.3</v>
      </c>
      <c r="AB28" s="45">
        <v>25.3</v>
      </c>
      <c r="AC28" s="45">
        <v>25.3</v>
      </c>
      <c r="AD28" s="45">
        <v>25.3</v>
      </c>
      <c r="AE28" s="45">
        <v>25.3</v>
      </c>
      <c r="AF28" s="45">
        <v>25.3</v>
      </c>
      <c r="AG28" s="49">
        <v>23.5</v>
      </c>
      <c r="AH28" s="47">
        <f t="shared" si="2"/>
        <v>25.3</v>
      </c>
      <c r="AI28" s="48">
        <f t="shared" si="3"/>
        <v>25.3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20.399999999999999</v>
      </c>
      <c r="C32" s="45">
        <v>20.399999999999999</v>
      </c>
      <c r="D32" s="45">
        <v>20.399999999999999</v>
      </c>
      <c r="E32" s="45">
        <v>20.399999999999999</v>
      </c>
      <c r="F32" s="45">
        <v>20.399999999999999</v>
      </c>
      <c r="G32" s="45">
        <v>20.399999999999999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20.399999999999999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5</v>
      </c>
      <c r="E33" s="45">
        <v>5</v>
      </c>
      <c r="F33" s="45">
        <v>10</v>
      </c>
      <c r="G33" s="45">
        <v>10</v>
      </c>
      <c r="H33" s="45">
        <v>10</v>
      </c>
      <c r="I33" s="45">
        <v>15</v>
      </c>
      <c r="J33" s="45">
        <v>15</v>
      </c>
      <c r="K33" s="45">
        <v>20</v>
      </c>
      <c r="L33" s="45">
        <v>20</v>
      </c>
      <c r="M33" s="45">
        <v>20</v>
      </c>
      <c r="N33" s="45">
        <v>20</v>
      </c>
      <c r="O33" s="45">
        <v>14</v>
      </c>
      <c r="P33" s="45">
        <v>14</v>
      </c>
      <c r="Q33" s="45">
        <v>14</v>
      </c>
      <c r="R33" s="45">
        <v>14</v>
      </c>
      <c r="S33" s="45">
        <v>14</v>
      </c>
      <c r="T33" s="45">
        <v>10</v>
      </c>
      <c r="U33" s="45">
        <v>10</v>
      </c>
      <c r="V33" s="45">
        <v>0</v>
      </c>
      <c r="W33" s="45">
        <v>0</v>
      </c>
      <c r="X33" s="45">
        <v>10</v>
      </c>
      <c r="Y33" s="45">
        <v>20</v>
      </c>
      <c r="Z33" s="45">
        <v>15</v>
      </c>
      <c r="AA33" s="45">
        <v>15</v>
      </c>
      <c r="AB33" s="45">
        <v>8</v>
      </c>
      <c r="AC33" s="45">
        <v>8</v>
      </c>
      <c r="AD33" s="45">
        <v>8</v>
      </c>
      <c r="AE33" s="45">
        <v>8</v>
      </c>
      <c r="AF33" s="45">
        <v>8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4</v>
      </c>
      <c r="C34" s="45">
        <v>4</v>
      </c>
      <c r="D34" s="45">
        <v>4</v>
      </c>
      <c r="E34" s="45">
        <v>4</v>
      </c>
      <c r="F34" s="45">
        <v>4</v>
      </c>
      <c r="G34" s="45">
        <v>4</v>
      </c>
      <c r="H34" s="45">
        <v>7</v>
      </c>
      <c r="I34" s="45">
        <v>10</v>
      </c>
      <c r="J34" s="45">
        <v>10</v>
      </c>
      <c r="K34" s="45">
        <v>15</v>
      </c>
      <c r="L34" s="45">
        <v>15</v>
      </c>
      <c r="M34" s="45">
        <v>15</v>
      </c>
      <c r="N34" s="45">
        <v>15</v>
      </c>
      <c r="O34" s="45">
        <v>13</v>
      </c>
      <c r="P34" s="45">
        <v>13</v>
      </c>
      <c r="Q34" s="45">
        <v>13</v>
      </c>
      <c r="R34" s="45">
        <v>13</v>
      </c>
      <c r="S34" s="45">
        <v>13</v>
      </c>
      <c r="T34" s="45">
        <v>12</v>
      </c>
      <c r="U34" s="45">
        <v>12</v>
      </c>
      <c r="V34" s="45">
        <v>12</v>
      </c>
      <c r="W34" s="45">
        <v>12</v>
      </c>
      <c r="X34" s="45">
        <v>15</v>
      </c>
      <c r="Y34" s="45">
        <v>15</v>
      </c>
      <c r="Z34" s="45">
        <v>15</v>
      </c>
      <c r="AA34" s="45">
        <v>15</v>
      </c>
      <c r="AB34" s="45">
        <v>5</v>
      </c>
      <c r="AC34" s="45">
        <v>5</v>
      </c>
      <c r="AD34" s="45">
        <v>5</v>
      </c>
      <c r="AE34" s="45">
        <v>5</v>
      </c>
      <c r="AF34" s="45">
        <v>5</v>
      </c>
      <c r="AG34" s="49">
        <v>18</v>
      </c>
      <c r="AH34" s="47">
        <f t="shared" si="2"/>
        <v>15</v>
      </c>
      <c r="AI34" s="48">
        <f t="shared" si="3"/>
        <v>4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2</v>
      </c>
      <c r="E39" s="45">
        <v>2</v>
      </c>
      <c r="F39" s="45">
        <v>2</v>
      </c>
      <c r="G39" s="45">
        <v>4</v>
      </c>
      <c r="H39" s="45">
        <v>6</v>
      </c>
      <c r="I39" s="45">
        <v>10</v>
      </c>
      <c r="J39" s="45">
        <v>12</v>
      </c>
      <c r="K39" s="45">
        <v>12</v>
      </c>
      <c r="L39" s="45">
        <v>12</v>
      </c>
      <c r="M39" s="45">
        <v>12</v>
      </c>
      <c r="N39" s="45">
        <v>12</v>
      </c>
      <c r="O39" s="45">
        <v>8.4</v>
      </c>
      <c r="P39" s="45">
        <v>8.4</v>
      </c>
      <c r="Q39" s="45">
        <v>8.4</v>
      </c>
      <c r="R39" s="45">
        <v>8.4</v>
      </c>
      <c r="S39" s="45">
        <v>8.4</v>
      </c>
      <c r="T39" s="45">
        <v>8.4</v>
      </c>
      <c r="U39" s="45">
        <v>12</v>
      </c>
      <c r="V39" s="45">
        <v>12</v>
      </c>
      <c r="W39" s="45">
        <v>12</v>
      </c>
      <c r="X39" s="45">
        <v>12</v>
      </c>
      <c r="Y39" s="45">
        <v>12</v>
      </c>
      <c r="Z39" s="45">
        <v>12</v>
      </c>
      <c r="AA39" s="45">
        <v>12</v>
      </c>
      <c r="AB39" s="45">
        <v>12</v>
      </c>
      <c r="AC39" s="45">
        <v>12</v>
      </c>
      <c r="AD39" s="45">
        <v>12</v>
      </c>
      <c r="AE39" s="45">
        <v>12</v>
      </c>
      <c r="AF39" s="45">
        <v>6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7</v>
      </c>
      <c r="C45" s="45">
        <v>7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0</v>
      </c>
      <c r="W45" s="45">
        <v>0</v>
      </c>
      <c r="X45" s="45">
        <v>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128.1</v>
      </c>
      <c r="C49" s="56">
        <v>128.1</v>
      </c>
      <c r="D49" s="56">
        <v>128.1</v>
      </c>
      <c r="E49" s="56">
        <f t="shared" ref="E49:L49" si="5">36.2+93.3</f>
        <v>129.5</v>
      </c>
      <c r="F49" s="56">
        <f t="shared" si="5"/>
        <v>129.5</v>
      </c>
      <c r="G49" s="56">
        <f t="shared" si="5"/>
        <v>129.5</v>
      </c>
      <c r="H49" s="56">
        <f t="shared" si="5"/>
        <v>129.5</v>
      </c>
      <c r="I49" s="56">
        <f t="shared" si="5"/>
        <v>129.5</v>
      </c>
      <c r="J49" s="56">
        <f t="shared" si="5"/>
        <v>129.5</v>
      </c>
      <c r="K49" s="56">
        <f t="shared" si="5"/>
        <v>129.5</v>
      </c>
      <c r="L49" s="56">
        <f t="shared" si="5"/>
        <v>129.5</v>
      </c>
      <c r="M49" s="58">
        <f>90.9+34.8</f>
        <v>125.7</v>
      </c>
      <c r="N49" s="58">
        <f>91.7+35.3</f>
        <v>127</v>
      </c>
      <c r="O49" s="58">
        <f>92.1+35.5</f>
        <v>127.6</v>
      </c>
      <c r="P49" s="58">
        <f>92.4+35.7</f>
        <v>128.10000000000002</v>
      </c>
      <c r="Q49" s="58">
        <f>92.9+36.1</f>
        <v>129</v>
      </c>
      <c r="R49" s="58">
        <f>88.5+34.8</f>
        <v>123.3</v>
      </c>
      <c r="S49" s="58">
        <v>126.4</v>
      </c>
      <c r="T49" s="58">
        <v>126.4</v>
      </c>
      <c r="U49" s="58">
        <v>126.4</v>
      </c>
      <c r="V49" s="58">
        <v>126.4</v>
      </c>
      <c r="W49" s="58">
        <v>120.1</v>
      </c>
      <c r="X49" s="58">
        <v>111.1</v>
      </c>
      <c r="Y49" s="56">
        <v>111.1</v>
      </c>
      <c r="Z49" s="56">
        <v>122.5</v>
      </c>
      <c r="AA49" s="56">
        <v>122.5</v>
      </c>
      <c r="AB49" s="56">
        <v>122.5</v>
      </c>
      <c r="AC49" s="56">
        <v>122.5</v>
      </c>
      <c r="AD49" s="56">
        <v>122.5</v>
      </c>
      <c r="AE49" s="56">
        <v>122.5</v>
      </c>
      <c r="AF49" s="56">
        <v>122.5</v>
      </c>
      <c r="AG49" s="54">
        <v>240</v>
      </c>
      <c r="AH49" s="47">
        <f t="shared" si="2"/>
        <v>129.5</v>
      </c>
      <c r="AI49" s="48">
        <f t="shared" si="3"/>
        <v>111.1</v>
      </c>
      <c r="AK49" s="50"/>
    </row>
    <row r="50" spans="1:41" ht="15.75" thickBot="1" x14ac:dyDescent="0.3">
      <c r="A50" s="59" t="s">
        <v>58</v>
      </c>
      <c r="B50" s="60">
        <f t="shared" ref="B50:AD50" si="6">SUM(B11:B48)</f>
        <v>1041.3000000000002</v>
      </c>
      <c r="C50" s="60">
        <f t="shared" si="6"/>
        <v>1041.3000000000002</v>
      </c>
      <c r="D50" s="60">
        <f t="shared" si="6"/>
        <v>1052.3000000000002</v>
      </c>
      <c r="E50" s="60">
        <f t="shared" si="6"/>
        <v>1052.3000000000002</v>
      </c>
      <c r="F50" s="60">
        <f t="shared" si="6"/>
        <v>1062.3000000000002</v>
      </c>
      <c r="G50" s="60">
        <f t="shared" si="6"/>
        <v>1064.3000000000002</v>
      </c>
      <c r="H50" s="60">
        <f t="shared" si="6"/>
        <v>1099.2</v>
      </c>
      <c r="I50" s="60">
        <f t="shared" si="6"/>
        <v>1136.1999999999998</v>
      </c>
      <c r="J50" s="60">
        <f t="shared" si="6"/>
        <v>1157.1999999999998</v>
      </c>
      <c r="K50" s="60">
        <f t="shared" si="6"/>
        <v>1171.8</v>
      </c>
      <c r="L50" s="60">
        <f t="shared" si="6"/>
        <v>1182.1999999999998</v>
      </c>
      <c r="M50" s="60">
        <f t="shared" si="6"/>
        <v>1185.5999999999999</v>
      </c>
      <c r="N50" s="60">
        <f t="shared" si="6"/>
        <v>1185.5999999999999</v>
      </c>
      <c r="O50" s="60">
        <f t="shared" si="6"/>
        <v>1145.4000000000001</v>
      </c>
      <c r="P50" s="60">
        <f t="shared" si="6"/>
        <v>1123.5</v>
      </c>
      <c r="Q50" s="60">
        <f t="shared" si="6"/>
        <v>1123.8</v>
      </c>
      <c r="R50" s="60">
        <f t="shared" si="6"/>
        <v>1154</v>
      </c>
      <c r="S50" s="60">
        <f t="shared" si="6"/>
        <v>1131.6999999999998</v>
      </c>
      <c r="T50" s="60">
        <f t="shared" si="6"/>
        <v>1188.3</v>
      </c>
      <c r="U50" s="60">
        <f t="shared" si="6"/>
        <v>1202.0999999999999</v>
      </c>
      <c r="V50" s="60">
        <f t="shared" si="6"/>
        <v>1186.9000000000001</v>
      </c>
      <c r="W50" s="60">
        <f t="shared" si="6"/>
        <v>1179.7</v>
      </c>
      <c r="X50" s="60">
        <f t="shared" si="6"/>
        <v>1201</v>
      </c>
      <c r="Y50" s="60">
        <f t="shared" si="6"/>
        <v>1221</v>
      </c>
      <c r="Z50" s="60">
        <f t="shared" si="6"/>
        <v>1210</v>
      </c>
      <c r="AA50" s="60">
        <f t="shared" si="6"/>
        <v>1210</v>
      </c>
      <c r="AB50" s="60">
        <f t="shared" ref="AB50" si="7">SUM(AB11:AB48)</f>
        <v>1186</v>
      </c>
      <c r="AC50" s="60">
        <f t="shared" si="6"/>
        <v>1186</v>
      </c>
      <c r="AD50" s="60">
        <f t="shared" si="6"/>
        <v>1186</v>
      </c>
      <c r="AE50" s="60">
        <f t="shared" ref="AE50:AF50" si="8">SUM(AE11:AE48)</f>
        <v>1175.9000000000001</v>
      </c>
      <c r="AF50" s="60">
        <f t="shared" si="8"/>
        <v>1138.9000000000001</v>
      </c>
      <c r="AG50" s="61">
        <f>SUM(AG13:AG48)</f>
        <v>922.14</v>
      </c>
      <c r="AH50" s="47">
        <f t="shared" si="2"/>
        <v>1221</v>
      </c>
      <c r="AI50" s="48">
        <f t="shared" si="3"/>
        <v>1041.3000000000002</v>
      </c>
      <c r="AK50" s="50"/>
    </row>
    <row r="51" spans="1:41" x14ac:dyDescent="0.25">
      <c r="A51" s="62" t="s">
        <v>59</v>
      </c>
      <c r="B51" s="45">
        <v>410</v>
      </c>
      <c r="C51" s="45">
        <v>410</v>
      </c>
      <c r="D51" s="45">
        <v>410</v>
      </c>
      <c r="E51" s="45">
        <v>410</v>
      </c>
      <c r="F51" s="45">
        <v>410</v>
      </c>
      <c r="G51" s="45">
        <v>410</v>
      </c>
      <c r="H51" s="45">
        <v>410</v>
      </c>
      <c r="I51" s="45">
        <v>410</v>
      </c>
      <c r="J51" s="45">
        <v>410</v>
      </c>
      <c r="K51" s="45">
        <v>440</v>
      </c>
      <c r="L51" s="45">
        <v>440</v>
      </c>
      <c r="M51" s="45">
        <v>435</v>
      </c>
      <c r="N51" s="45">
        <v>435</v>
      </c>
      <c r="O51" s="45">
        <v>435</v>
      </c>
      <c r="P51" s="45">
        <v>435</v>
      </c>
      <c r="Q51" s="45">
        <v>435</v>
      </c>
      <c r="R51" s="45">
        <v>435</v>
      </c>
      <c r="S51" s="45">
        <v>152</v>
      </c>
      <c r="T51" s="45">
        <v>304</v>
      </c>
      <c r="U51" s="45">
        <v>304</v>
      </c>
      <c r="V51" s="45">
        <v>330</v>
      </c>
      <c r="W51" s="45">
        <v>360</v>
      </c>
      <c r="X51" s="45">
        <v>360</v>
      </c>
      <c r="Y51" s="45">
        <v>400</v>
      </c>
      <c r="Z51" s="45">
        <v>400</v>
      </c>
      <c r="AA51" s="45">
        <v>395</v>
      </c>
      <c r="AB51" s="45">
        <v>395</v>
      </c>
      <c r="AC51" s="45">
        <v>395</v>
      </c>
      <c r="AD51" s="45">
        <v>395</v>
      </c>
      <c r="AE51" s="45">
        <v>395</v>
      </c>
      <c r="AF51" s="45">
        <v>395</v>
      </c>
      <c r="AG51" s="51">
        <v>456</v>
      </c>
      <c r="AH51" s="47">
        <f t="shared" si="2"/>
        <v>440</v>
      </c>
      <c r="AI51" s="48">
        <f t="shared" si="3"/>
        <v>152</v>
      </c>
      <c r="AK51" s="50"/>
    </row>
    <row r="52" spans="1:41" x14ac:dyDescent="0.25">
      <c r="A52" s="63" t="s">
        <v>60</v>
      </c>
      <c r="B52" s="64">
        <v>45</v>
      </c>
      <c r="C52" s="64">
        <v>45</v>
      </c>
      <c r="D52" s="64">
        <v>45</v>
      </c>
      <c r="E52" s="64">
        <v>45</v>
      </c>
      <c r="F52" s="64">
        <v>45</v>
      </c>
      <c r="G52" s="64">
        <v>45</v>
      </c>
      <c r="H52" s="64">
        <v>45</v>
      </c>
      <c r="I52" s="64">
        <v>45</v>
      </c>
      <c r="J52" s="64">
        <v>45</v>
      </c>
      <c r="K52" s="64">
        <v>45</v>
      </c>
      <c r="L52" s="64">
        <v>45</v>
      </c>
      <c r="M52" s="64">
        <v>45</v>
      </c>
      <c r="N52" s="64">
        <v>45</v>
      </c>
      <c r="O52" s="64">
        <v>45</v>
      </c>
      <c r="P52" s="64">
        <v>45</v>
      </c>
      <c r="Q52" s="64">
        <v>45</v>
      </c>
      <c r="R52" s="64">
        <v>45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45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22.5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AG54" si="9">SUM(B51:B53)</f>
        <v>477.4</v>
      </c>
      <c r="C54" s="60">
        <f t="shared" si="9"/>
        <v>477.4</v>
      </c>
      <c r="D54" s="60">
        <f t="shared" si="9"/>
        <v>477.4</v>
      </c>
      <c r="E54" s="60">
        <f t="shared" si="9"/>
        <v>477.4</v>
      </c>
      <c r="F54" s="60">
        <f t="shared" si="9"/>
        <v>477.4</v>
      </c>
      <c r="G54" s="60">
        <f t="shared" si="9"/>
        <v>477.4</v>
      </c>
      <c r="H54" s="60">
        <f t="shared" si="9"/>
        <v>477.4</v>
      </c>
      <c r="I54" s="60">
        <f t="shared" si="9"/>
        <v>477.4</v>
      </c>
      <c r="J54" s="60">
        <f t="shared" si="9"/>
        <v>477.4</v>
      </c>
      <c r="K54" s="60">
        <f t="shared" si="9"/>
        <v>507.5</v>
      </c>
      <c r="L54" s="60">
        <f t="shared" si="9"/>
        <v>507.5</v>
      </c>
      <c r="M54" s="60">
        <f t="shared" si="9"/>
        <v>502.5</v>
      </c>
      <c r="N54" s="60">
        <f t="shared" si="9"/>
        <v>502.5</v>
      </c>
      <c r="O54" s="60">
        <f t="shared" si="9"/>
        <v>502.5</v>
      </c>
      <c r="P54" s="60">
        <f t="shared" si="9"/>
        <v>502.5</v>
      </c>
      <c r="Q54" s="60">
        <f t="shared" si="9"/>
        <v>502.5</v>
      </c>
      <c r="R54" s="60">
        <f t="shared" si="9"/>
        <v>502.5</v>
      </c>
      <c r="S54" s="60">
        <f t="shared" si="9"/>
        <v>234.5</v>
      </c>
      <c r="T54" s="60">
        <f t="shared" si="9"/>
        <v>386.5</v>
      </c>
      <c r="U54" s="60">
        <f t="shared" si="9"/>
        <v>386.5</v>
      </c>
      <c r="V54" s="60">
        <f t="shared" si="9"/>
        <v>412.5</v>
      </c>
      <c r="W54" s="60">
        <f t="shared" si="9"/>
        <v>442.5</v>
      </c>
      <c r="X54" s="60">
        <f t="shared" si="9"/>
        <v>442.5</v>
      </c>
      <c r="Y54" s="60">
        <f t="shared" si="9"/>
        <v>482</v>
      </c>
      <c r="Z54" s="60">
        <f t="shared" si="9"/>
        <v>482</v>
      </c>
      <c r="AA54" s="60">
        <f t="shared" si="9"/>
        <v>477</v>
      </c>
      <c r="AB54" s="60">
        <f t="shared" ref="AB54" si="10">SUM(AB51:AB53)</f>
        <v>477</v>
      </c>
      <c r="AC54" s="60">
        <f t="shared" si="9"/>
        <v>477</v>
      </c>
      <c r="AD54" s="60">
        <f t="shared" si="9"/>
        <v>477</v>
      </c>
      <c r="AE54" s="60">
        <f t="shared" ref="AE54:AF54" si="11">SUM(AE51:AE53)</f>
        <v>477</v>
      </c>
      <c r="AF54" s="60">
        <f t="shared" si="11"/>
        <v>477</v>
      </c>
      <c r="AG54" s="61">
        <f t="shared" si="9"/>
        <v>538.1</v>
      </c>
      <c r="AH54" s="47">
        <f t="shared" si="2"/>
        <v>507.5</v>
      </c>
      <c r="AI54" s="48">
        <f t="shared" si="3"/>
        <v>234.5</v>
      </c>
      <c r="AK54" s="50"/>
    </row>
    <row r="55" spans="1:41" x14ac:dyDescent="0.25">
      <c r="A55" s="44" t="s">
        <v>63</v>
      </c>
      <c r="B55" s="45">
        <v>146.19999999999999</v>
      </c>
      <c r="C55" s="45">
        <v>146.19999999999999</v>
      </c>
      <c r="D55" s="45">
        <v>146.19999999999999</v>
      </c>
      <c r="E55" s="45">
        <v>146.19999999999999</v>
      </c>
      <c r="F55" s="45">
        <v>146.19999999999999</v>
      </c>
      <c r="G55" s="45">
        <v>146.19999999999999</v>
      </c>
      <c r="H55" s="45">
        <v>146.19999999999999</v>
      </c>
      <c r="I55" s="45">
        <v>146.19999999999999</v>
      </c>
      <c r="J55" s="45">
        <v>146.19999999999999</v>
      </c>
      <c r="K55" s="45">
        <v>146.19999999999999</v>
      </c>
      <c r="L55" s="45">
        <v>146.19999999999999</v>
      </c>
      <c r="M55" s="45">
        <v>147.19999999999999</v>
      </c>
      <c r="N55" s="45">
        <v>147.19999999999999</v>
      </c>
      <c r="O55" s="45">
        <v>147.1</v>
      </c>
      <c r="P55" s="45">
        <v>136.6</v>
      </c>
      <c r="Q55" s="45">
        <v>146.80000000000001</v>
      </c>
      <c r="R55" s="45">
        <v>146.69999999999999</v>
      </c>
      <c r="S55" s="45">
        <v>146.69999999999999</v>
      </c>
      <c r="T55" s="45">
        <v>146.69999999999999</v>
      </c>
      <c r="U55" s="45">
        <v>146.69999999999999</v>
      </c>
      <c r="V55" s="45">
        <v>146.69999999999999</v>
      </c>
      <c r="W55" s="45">
        <v>146.69999999999999</v>
      </c>
      <c r="X55" s="45">
        <v>146.69999999999999</v>
      </c>
      <c r="Y55" s="45">
        <v>146.69999999999999</v>
      </c>
      <c r="Z55" s="45">
        <v>146.69999999999999</v>
      </c>
      <c r="AA55" s="45">
        <v>146.69999999999999</v>
      </c>
      <c r="AB55" s="45">
        <v>146.69999999999999</v>
      </c>
      <c r="AC55" s="45">
        <v>146.69999999999999</v>
      </c>
      <c r="AD55" s="45">
        <v>146.69999999999999</v>
      </c>
      <c r="AE55" s="45">
        <v>146.69999999999999</v>
      </c>
      <c r="AF55" s="45">
        <v>146.69999999999999</v>
      </c>
      <c r="AG55" s="51">
        <v>144</v>
      </c>
      <c r="AH55" s="47">
        <f t="shared" si="2"/>
        <v>147.19999999999999</v>
      </c>
      <c r="AI55" s="48">
        <f t="shared" si="3"/>
        <v>136.6</v>
      </c>
      <c r="AK55" s="50"/>
    </row>
    <row r="56" spans="1:41" x14ac:dyDescent="0.25">
      <c r="A56" s="53" t="s">
        <v>64</v>
      </c>
      <c r="B56" s="64">
        <v>70.2</v>
      </c>
      <c r="C56" s="64">
        <v>70.2</v>
      </c>
      <c r="D56" s="64">
        <v>70.2</v>
      </c>
      <c r="E56" s="64">
        <v>70.2</v>
      </c>
      <c r="F56" s="64">
        <v>70.2</v>
      </c>
      <c r="G56" s="64">
        <v>70.2</v>
      </c>
      <c r="H56" s="64">
        <v>70.2</v>
      </c>
      <c r="I56" s="64">
        <v>70.2</v>
      </c>
      <c r="J56" s="64">
        <v>70.2</v>
      </c>
      <c r="K56" s="64">
        <v>70.2</v>
      </c>
      <c r="L56" s="64">
        <v>70.2</v>
      </c>
      <c r="M56" s="64">
        <v>68.7</v>
      </c>
      <c r="N56" s="64">
        <v>68.7</v>
      </c>
      <c r="O56" s="64">
        <v>70.099999999999994</v>
      </c>
      <c r="P56" s="64">
        <v>70.099999999999994</v>
      </c>
      <c r="Q56" s="64">
        <v>69.900000000000006</v>
      </c>
      <c r="R56" s="64">
        <v>69.3</v>
      </c>
      <c r="S56" s="64">
        <v>69.3</v>
      </c>
      <c r="T56" s="64">
        <v>69.3</v>
      </c>
      <c r="U56" s="64">
        <v>69.3</v>
      </c>
      <c r="V56" s="64">
        <v>69.3</v>
      </c>
      <c r="W56" s="64">
        <v>69.3</v>
      </c>
      <c r="X56" s="64">
        <v>69.3</v>
      </c>
      <c r="Y56" s="45">
        <v>70.400000000000006</v>
      </c>
      <c r="Z56" s="45">
        <v>70.400000000000006</v>
      </c>
      <c r="AA56" s="45">
        <v>70.400000000000006</v>
      </c>
      <c r="AB56" s="45">
        <v>70.400000000000006</v>
      </c>
      <c r="AC56" s="45">
        <v>70.400000000000006</v>
      </c>
      <c r="AD56" s="45">
        <v>70.400000000000006</v>
      </c>
      <c r="AE56" s="45">
        <v>70.400000000000006</v>
      </c>
      <c r="AF56" s="45">
        <v>70.400000000000006</v>
      </c>
      <c r="AG56" s="54">
        <v>70</v>
      </c>
      <c r="AH56" s="47">
        <f t="shared" si="2"/>
        <v>70.400000000000006</v>
      </c>
      <c r="AI56" s="48">
        <f t="shared" si="3"/>
        <v>68.7</v>
      </c>
      <c r="AK56" s="50"/>
    </row>
    <row r="57" spans="1:41" x14ac:dyDescent="0.25">
      <c r="A57" s="53" t="s">
        <v>65</v>
      </c>
      <c r="B57" s="64">
        <v>68</v>
      </c>
      <c r="C57" s="64">
        <v>68</v>
      </c>
      <c r="D57" s="64">
        <v>68</v>
      </c>
      <c r="E57" s="64">
        <v>68</v>
      </c>
      <c r="F57" s="64">
        <v>68</v>
      </c>
      <c r="G57" s="64">
        <v>68</v>
      </c>
      <c r="H57" s="64">
        <v>68</v>
      </c>
      <c r="I57" s="64">
        <v>68</v>
      </c>
      <c r="J57" s="64">
        <v>68</v>
      </c>
      <c r="K57" s="64">
        <v>68</v>
      </c>
      <c r="L57" s="64">
        <v>68</v>
      </c>
      <c r="M57" s="64">
        <v>60.7</v>
      </c>
      <c r="N57" s="64">
        <v>60.7</v>
      </c>
      <c r="O57" s="64">
        <v>67.099999999999994</v>
      </c>
      <c r="P57" s="64">
        <v>67.099999999999994</v>
      </c>
      <c r="Q57" s="64">
        <v>67.900000000000006</v>
      </c>
      <c r="R57" s="64">
        <v>67.599999999999994</v>
      </c>
      <c r="S57" s="64">
        <v>50</v>
      </c>
      <c r="T57" s="64">
        <v>67</v>
      </c>
      <c r="U57" s="64">
        <v>67</v>
      </c>
      <c r="V57" s="64">
        <v>67</v>
      </c>
      <c r="W57" s="64">
        <v>67</v>
      </c>
      <c r="X57" s="64">
        <v>67</v>
      </c>
      <c r="Y57" s="45">
        <v>67</v>
      </c>
      <c r="Z57" s="45">
        <v>67</v>
      </c>
      <c r="AA57" s="45">
        <v>67</v>
      </c>
      <c r="AB57" s="45">
        <v>67</v>
      </c>
      <c r="AC57" s="45">
        <v>67</v>
      </c>
      <c r="AD57" s="45">
        <v>67</v>
      </c>
      <c r="AE57" s="45">
        <v>60</v>
      </c>
      <c r="AF57" s="45">
        <v>60</v>
      </c>
      <c r="AG57" s="54">
        <v>69</v>
      </c>
      <c r="AH57" s="47">
        <f t="shared" si="2"/>
        <v>68</v>
      </c>
      <c r="AI57" s="48">
        <f t="shared" si="3"/>
        <v>50</v>
      </c>
      <c r="AK57" s="50"/>
    </row>
    <row r="58" spans="1:41" x14ac:dyDescent="0.25">
      <c r="A58" s="53" t="s">
        <v>66</v>
      </c>
      <c r="B58" s="64">
        <v>60.2</v>
      </c>
      <c r="C58" s="64">
        <v>60.2</v>
      </c>
      <c r="D58" s="64">
        <v>60.2</v>
      </c>
      <c r="E58" s="64">
        <v>60.2</v>
      </c>
      <c r="F58" s="64">
        <v>60.2</v>
      </c>
      <c r="G58" s="64">
        <v>60.2</v>
      </c>
      <c r="H58" s="64">
        <v>60.2</v>
      </c>
      <c r="I58" s="64">
        <v>60.2</v>
      </c>
      <c r="J58" s="64">
        <v>60.2</v>
      </c>
      <c r="K58" s="64">
        <v>60.2</v>
      </c>
      <c r="L58" s="64">
        <v>60.2</v>
      </c>
      <c r="M58" s="64">
        <v>61.2</v>
      </c>
      <c r="N58" s="64">
        <v>61.2</v>
      </c>
      <c r="O58" s="64">
        <v>62.5</v>
      </c>
      <c r="P58" s="64">
        <v>62.5</v>
      </c>
      <c r="Q58" s="64">
        <v>60.7</v>
      </c>
      <c r="R58" s="64">
        <v>60.9</v>
      </c>
      <c r="S58" s="64">
        <v>60.9</v>
      </c>
      <c r="T58" s="64">
        <v>60.9</v>
      </c>
      <c r="U58" s="64">
        <v>60.9</v>
      </c>
      <c r="V58" s="64">
        <v>60.9</v>
      </c>
      <c r="W58" s="64">
        <v>60.9</v>
      </c>
      <c r="X58" s="64">
        <v>60.9</v>
      </c>
      <c r="Y58" s="45">
        <v>61.4</v>
      </c>
      <c r="Z58" s="45">
        <v>61.4</v>
      </c>
      <c r="AA58" s="45">
        <v>61.4</v>
      </c>
      <c r="AB58" s="45">
        <v>61.4</v>
      </c>
      <c r="AC58" s="45">
        <v>61.4</v>
      </c>
      <c r="AD58" s="45">
        <v>61.4</v>
      </c>
      <c r="AE58" s="45">
        <v>50</v>
      </c>
      <c r="AF58" s="45">
        <v>50</v>
      </c>
      <c r="AG58" s="54">
        <v>60</v>
      </c>
      <c r="AH58" s="47">
        <f t="shared" si="2"/>
        <v>62.5</v>
      </c>
      <c r="AI58" s="48">
        <f t="shared" si="3"/>
        <v>50</v>
      </c>
      <c r="AK58" s="50"/>
    </row>
    <row r="59" spans="1:41" x14ac:dyDescent="0.25">
      <c r="A59" s="53" t="s">
        <v>67</v>
      </c>
      <c r="B59" s="64">
        <v>30</v>
      </c>
      <c r="C59" s="64">
        <v>30</v>
      </c>
      <c r="D59" s="64">
        <v>30</v>
      </c>
      <c r="E59" s="64">
        <v>15</v>
      </c>
      <c r="F59" s="64">
        <v>15</v>
      </c>
      <c r="G59" s="64">
        <v>15</v>
      </c>
      <c r="H59" s="64">
        <v>15</v>
      </c>
      <c r="I59" s="64">
        <v>15</v>
      </c>
      <c r="J59" s="64">
        <v>15</v>
      </c>
      <c r="K59" s="64">
        <v>15</v>
      </c>
      <c r="L59" s="64">
        <v>15</v>
      </c>
      <c r="M59" s="64">
        <v>15</v>
      </c>
      <c r="N59" s="64">
        <v>15</v>
      </c>
      <c r="O59" s="64">
        <v>15</v>
      </c>
      <c r="P59" s="64">
        <v>15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15</v>
      </c>
      <c r="W59" s="64">
        <v>15</v>
      </c>
      <c r="X59" s="64">
        <v>15</v>
      </c>
      <c r="Y59" s="45">
        <v>24</v>
      </c>
      <c r="Z59" s="45">
        <v>24</v>
      </c>
      <c r="AA59" s="45">
        <v>24</v>
      </c>
      <c r="AB59" s="45">
        <v>24</v>
      </c>
      <c r="AC59" s="45">
        <v>24</v>
      </c>
      <c r="AD59" s="45">
        <v>24</v>
      </c>
      <c r="AE59" s="45">
        <v>24</v>
      </c>
      <c r="AF59" s="45">
        <v>24</v>
      </c>
      <c r="AG59" s="54">
        <v>30</v>
      </c>
      <c r="AH59" s="47">
        <f t="shared" si="2"/>
        <v>30</v>
      </c>
      <c r="AI59" s="48">
        <f t="shared" si="3"/>
        <v>15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1</v>
      </c>
      <c r="L60" s="64">
        <v>2.5</v>
      </c>
      <c r="M60" s="64">
        <v>4.4000000000000004</v>
      </c>
      <c r="N60" s="64">
        <v>4.4000000000000004</v>
      </c>
      <c r="O60" s="64">
        <v>14.1</v>
      </c>
      <c r="P60" s="64">
        <v>14.1</v>
      </c>
      <c r="Q60" s="64">
        <v>16.5</v>
      </c>
      <c r="R60" s="64">
        <v>16.5</v>
      </c>
      <c r="S60" s="64">
        <v>14</v>
      </c>
      <c r="T60" s="64">
        <v>8.5</v>
      </c>
      <c r="U60" s="64">
        <v>4.4000000000000004</v>
      </c>
      <c r="V60" s="64">
        <v>0.7</v>
      </c>
      <c r="W60" s="64">
        <v>0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16.5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>
        <v>15</v>
      </c>
      <c r="I61" s="64">
        <v>15</v>
      </c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15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0</v>
      </c>
      <c r="R62" s="64">
        <v>0</v>
      </c>
      <c r="S62" s="64">
        <v>2.4</v>
      </c>
      <c r="T62" s="64">
        <v>2.4</v>
      </c>
      <c r="U62" s="64">
        <v>2.4</v>
      </c>
      <c r="V62" s="64">
        <v>2.4</v>
      </c>
      <c r="W62" s="64">
        <v>2.4</v>
      </c>
      <c r="X62" s="64">
        <v>2.4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9.4</v>
      </c>
      <c r="C63" s="64">
        <v>9.4</v>
      </c>
      <c r="D63" s="64">
        <v>9.4</v>
      </c>
      <c r="E63" s="64">
        <v>9.4</v>
      </c>
      <c r="F63" s="64">
        <v>9.4</v>
      </c>
      <c r="G63" s="64">
        <v>9.4</v>
      </c>
      <c r="H63" s="64">
        <v>9.4</v>
      </c>
      <c r="I63" s="64">
        <v>9.4</v>
      </c>
      <c r="J63" s="64">
        <v>9.4</v>
      </c>
      <c r="K63" s="64">
        <v>9.4</v>
      </c>
      <c r="L63" s="64">
        <v>9.4</v>
      </c>
      <c r="M63" s="64">
        <v>9.4</v>
      </c>
      <c r="N63" s="64">
        <v>9.4</v>
      </c>
      <c r="O63" s="64">
        <v>9.4</v>
      </c>
      <c r="P63" s="64">
        <v>9.4</v>
      </c>
      <c r="Q63" s="64">
        <v>9.4</v>
      </c>
      <c r="R63" s="64">
        <v>9.4</v>
      </c>
      <c r="S63" s="64">
        <v>9.4</v>
      </c>
      <c r="T63" s="64">
        <v>9.4</v>
      </c>
      <c r="U63" s="64">
        <v>9.4</v>
      </c>
      <c r="V63" s="64">
        <v>9.4</v>
      </c>
      <c r="W63" s="64">
        <v>9.4</v>
      </c>
      <c r="X63" s="64">
        <v>9.4</v>
      </c>
      <c r="Y63" s="64">
        <v>9.4</v>
      </c>
      <c r="Z63" s="64">
        <v>9.4</v>
      </c>
      <c r="AA63" s="64">
        <v>9.4</v>
      </c>
      <c r="AB63" s="64">
        <v>9.4</v>
      </c>
      <c r="AC63" s="64">
        <v>9.4</v>
      </c>
      <c r="AD63" s="64">
        <v>9.4</v>
      </c>
      <c r="AE63" s="64">
        <v>9.4</v>
      </c>
      <c r="AF63" s="64">
        <v>9.4</v>
      </c>
      <c r="AG63" s="54">
        <v>14.1</v>
      </c>
      <c r="AH63" s="47">
        <f t="shared" si="2"/>
        <v>9.4</v>
      </c>
      <c r="AI63" s="48">
        <f t="shared" si="3"/>
        <v>9.4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10</v>
      </c>
      <c r="C64" s="64">
        <v>10</v>
      </c>
      <c r="D64" s="64">
        <v>14</v>
      </c>
      <c r="E64" s="64">
        <v>14</v>
      </c>
      <c r="F64" s="64">
        <v>14</v>
      </c>
      <c r="G64" s="64">
        <v>10.199999999999999</v>
      </c>
      <c r="H64" s="64">
        <v>10.9</v>
      </c>
      <c r="I64" s="64">
        <v>14</v>
      </c>
      <c r="J64" s="64">
        <v>14</v>
      </c>
      <c r="K64" s="64">
        <v>14</v>
      </c>
      <c r="L64" s="64">
        <v>14</v>
      </c>
      <c r="M64" s="64">
        <v>14</v>
      </c>
      <c r="N64" s="64">
        <v>14</v>
      </c>
      <c r="O64" s="64">
        <v>14</v>
      </c>
      <c r="P64" s="64">
        <v>14</v>
      </c>
      <c r="Q64" s="64">
        <v>14</v>
      </c>
      <c r="R64" s="64">
        <v>14</v>
      </c>
      <c r="S64" s="64">
        <v>14</v>
      </c>
      <c r="T64" s="64">
        <v>14</v>
      </c>
      <c r="U64" s="64">
        <v>14</v>
      </c>
      <c r="V64" s="64">
        <v>14</v>
      </c>
      <c r="W64" s="64">
        <v>14</v>
      </c>
      <c r="X64" s="64">
        <v>14</v>
      </c>
      <c r="Y64" s="64">
        <v>14</v>
      </c>
      <c r="Z64" s="64">
        <v>14</v>
      </c>
      <c r="AA64" s="64">
        <v>14</v>
      </c>
      <c r="AB64" s="64">
        <v>14</v>
      </c>
      <c r="AC64" s="64">
        <v>14</v>
      </c>
      <c r="AD64" s="64">
        <v>14</v>
      </c>
      <c r="AE64" s="64">
        <v>14</v>
      </c>
      <c r="AF64" s="64">
        <v>14</v>
      </c>
      <c r="AG64" s="54">
        <v>14</v>
      </c>
      <c r="AH64" s="47">
        <f t="shared" si="2"/>
        <v>14</v>
      </c>
      <c r="AI64" s="48">
        <f t="shared" si="3"/>
        <v>10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2">SUM(B55:B67)</f>
        <v>432.73999999999995</v>
      </c>
      <c r="C68" s="60">
        <f t="shared" si="12"/>
        <v>432.73999999999995</v>
      </c>
      <c r="D68" s="60">
        <f t="shared" si="12"/>
        <v>436.73999999999995</v>
      </c>
      <c r="E68" s="60">
        <f t="shared" si="12"/>
        <v>421.73999999999995</v>
      </c>
      <c r="F68" s="60">
        <f t="shared" si="12"/>
        <v>421.73999999999995</v>
      </c>
      <c r="G68" s="60">
        <f t="shared" si="12"/>
        <v>417.93999999999994</v>
      </c>
      <c r="H68" s="60">
        <f t="shared" si="12"/>
        <v>418.63999999999993</v>
      </c>
      <c r="I68" s="60">
        <f t="shared" si="12"/>
        <v>421.73999999999995</v>
      </c>
      <c r="J68" s="60">
        <f t="shared" si="12"/>
        <v>421.73999999999995</v>
      </c>
      <c r="K68" s="60">
        <f t="shared" si="12"/>
        <v>422.73999999999995</v>
      </c>
      <c r="L68" s="60">
        <f t="shared" si="12"/>
        <v>424.23999999999995</v>
      </c>
      <c r="M68" s="60">
        <f t="shared" si="12"/>
        <v>419.33999999999992</v>
      </c>
      <c r="N68" s="60">
        <f t="shared" si="12"/>
        <v>419.33999999999992</v>
      </c>
      <c r="O68" s="60">
        <f t="shared" si="12"/>
        <v>438.03999999999996</v>
      </c>
      <c r="P68" s="60">
        <f t="shared" si="12"/>
        <v>427.53999999999996</v>
      </c>
      <c r="Q68" s="60">
        <f t="shared" si="12"/>
        <v>433.94</v>
      </c>
      <c r="R68" s="60">
        <f t="shared" si="12"/>
        <v>433.14</v>
      </c>
      <c r="S68" s="60">
        <f t="shared" si="12"/>
        <v>415.43999999999994</v>
      </c>
      <c r="T68" s="60">
        <f t="shared" si="12"/>
        <v>426.93999999999994</v>
      </c>
      <c r="U68" s="60">
        <f t="shared" si="12"/>
        <v>422.83999999999992</v>
      </c>
      <c r="V68" s="60">
        <f t="shared" si="12"/>
        <v>419.13999999999993</v>
      </c>
      <c r="W68" s="60">
        <f t="shared" si="12"/>
        <v>418.43999999999994</v>
      </c>
      <c r="X68" s="60">
        <f t="shared" si="12"/>
        <v>418.43999999999994</v>
      </c>
      <c r="Y68" s="60">
        <f t="shared" si="12"/>
        <v>426.64</v>
      </c>
      <c r="Z68" s="60">
        <f t="shared" si="12"/>
        <v>426.64</v>
      </c>
      <c r="AA68" s="60">
        <f t="shared" si="12"/>
        <v>426.64</v>
      </c>
      <c r="AB68" s="60">
        <f t="shared" ref="AB68" si="13">SUM(AB55:AB67)</f>
        <v>426.64</v>
      </c>
      <c r="AC68" s="60">
        <f t="shared" si="12"/>
        <v>426.64</v>
      </c>
      <c r="AD68" s="60">
        <f t="shared" si="12"/>
        <v>426.64</v>
      </c>
      <c r="AE68" s="60">
        <f t="shared" ref="AE68:AF68" si="14">SUM(AE55:AE67)</f>
        <v>408.24</v>
      </c>
      <c r="AF68" s="60">
        <f t="shared" si="14"/>
        <v>408.24</v>
      </c>
      <c r="AG68" s="61">
        <f t="shared" si="12"/>
        <v>489.91</v>
      </c>
      <c r="AH68" s="47">
        <f t="shared" si="2"/>
        <v>438.03999999999996</v>
      </c>
      <c r="AI68" s="48">
        <f t="shared" si="3"/>
        <v>408.24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25.4</v>
      </c>
      <c r="L69" s="45">
        <v>55.8</v>
      </c>
      <c r="M69" s="45">
        <v>33.299999999999997</v>
      </c>
      <c r="N69" s="45">
        <v>11.1</v>
      </c>
      <c r="O69" s="45">
        <v>19.399999999999999</v>
      </c>
      <c r="P69" s="45">
        <v>10.3</v>
      </c>
      <c r="Q69" s="45">
        <v>10.3</v>
      </c>
      <c r="R69" s="45">
        <v>10.5</v>
      </c>
      <c r="S69" s="45">
        <v>10.5</v>
      </c>
      <c r="T69" s="45">
        <v>10.5</v>
      </c>
      <c r="U69" s="45">
        <v>10.5</v>
      </c>
      <c r="V69" s="45">
        <v>14.1</v>
      </c>
      <c r="W69" s="45">
        <v>14.1</v>
      </c>
      <c r="X69" s="45">
        <v>60</v>
      </c>
      <c r="Y69" s="45">
        <v>60</v>
      </c>
      <c r="Z69" s="45">
        <v>60</v>
      </c>
      <c r="AA69" s="45">
        <v>60</v>
      </c>
      <c r="AB69" s="45">
        <v>19.5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60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5</v>
      </c>
      <c r="K70" s="64">
        <v>5.3</v>
      </c>
      <c r="L70" s="64">
        <v>11.6</v>
      </c>
      <c r="M70" s="64">
        <v>16</v>
      </c>
      <c r="N70" s="64">
        <v>4.5</v>
      </c>
      <c r="O70" s="64">
        <v>10.1</v>
      </c>
      <c r="P70" s="64">
        <v>4.2</v>
      </c>
      <c r="Q70" s="64">
        <v>4.3</v>
      </c>
      <c r="R70" s="64">
        <v>4.3</v>
      </c>
      <c r="S70" s="64">
        <v>4.3</v>
      </c>
      <c r="T70" s="64">
        <v>4.3</v>
      </c>
      <c r="U70" s="64">
        <v>4.3</v>
      </c>
      <c r="V70" s="64">
        <v>6.6</v>
      </c>
      <c r="W70" s="64">
        <v>6.6</v>
      </c>
      <c r="X70" s="64">
        <v>28.6</v>
      </c>
      <c r="Y70" s="64">
        <v>28.5</v>
      </c>
      <c r="Z70" s="64">
        <v>28.5</v>
      </c>
      <c r="AA70" s="64">
        <v>28.5</v>
      </c>
      <c r="AB70" s="64">
        <v>13.3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28.6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1.8</v>
      </c>
      <c r="K71" s="66">
        <v>1.9</v>
      </c>
      <c r="L71" s="66">
        <v>4.3</v>
      </c>
      <c r="M71" s="66">
        <v>5.8</v>
      </c>
      <c r="N71" s="66">
        <v>1.7</v>
      </c>
      <c r="O71" s="66">
        <v>3.7</v>
      </c>
      <c r="P71" s="66">
        <v>1.5</v>
      </c>
      <c r="Q71" s="66">
        <v>1.6</v>
      </c>
      <c r="R71" s="66">
        <v>1.6</v>
      </c>
      <c r="S71" s="66">
        <v>1.6</v>
      </c>
      <c r="T71" s="66">
        <v>1.6</v>
      </c>
      <c r="U71" s="66">
        <v>1.6</v>
      </c>
      <c r="V71" s="66">
        <v>2.4</v>
      </c>
      <c r="W71" s="66">
        <v>2.4</v>
      </c>
      <c r="X71" s="66">
        <v>10.4</v>
      </c>
      <c r="Y71" s="66">
        <v>10.4</v>
      </c>
      <c r="Z71" s="66">
        <v>10.4</v>
      </c>
      <c r="AA71" s="66">
        <v>10.4</v>
      </c>
      <c r="AB71" s="66">
        <v>4.9000000000000004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10.4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71.699999999999989</v>
      </c>
      <c r="M72" s="60">
        <f t="shared" ref="M72:AD72" si="15">M69+M70+M71</f>
        <v>55.099999999999994</v>
      </c>
      <c r="N72" s="60">
        <f t="shared" si="15"/>
        <v>17.3</v>
      </c>
      <c r="O72" s="60">
        <f t="shared" si="15"/>
        <v>33.200000000000003</v>
      </c>
      <c r="P72" s="60">
        <f t="shared" si="15"/>
        <v>16</v>
      </c>
      <c r="Q72" s="60">
        <f t="shared" si="15"/>
        <v>16.200000000000003</v>
      </c>
      <c r="R72" s="60">
        <f t="shared" si="15"/>
        <v>16.400000000000002</v>
      </c>
      <c r="S72" s="60">
        <f t="shared" si="15"/>
        <v>16.400000000000002</v>
      </c>
      <c r="T72" s="60">
        <f t="shared" si="15"/>
        <v>16.400000000000002</v>
      </c>
      <c r="U72" s="60">
        <f t="shared" si="15"/>
        <v>16.400000000000002</v>
      </c>
      <c r="V72" s="60">
        <f t="shared" si="15"/>
        <v>23.099999999999998</v>
      </c>
      <c r="W72" s="60">
        <f t="shared" si="15"/>
        <v>23.099999999999998</v>
      </c>
      <c r="X72" s="60">
        <f t="shared" si="15"/>
        <v>99</v>
      </c>
      <c r="Y72" s="60">
        <f t="shared" si="15"/>
        <v>98.9</v>
      </c>
      <c r="Z72" s="60">
        <f t="shared" si="15"/>
        <v>98.9</v>
      </c>
      <c r="AA72" s="60">
        <f t="shared" si="15"/>
        <v>98.9</v>
      </c>
      <c r="AB72" s="60">
        <f t="shared" ref="AB72" si="16">AB69+AB70+AB71</f>
        <v>37.699999999999996</v>
      </c>
      <c r="AC72" s="60">
        <f t="shared" si="15"/>
        <v>0</v>
      </c>
      <c r="AD72" s="60">
        <f t="shared" si="15"/>
        <v>0</v>
      </c>
      <c r="AE72" s="60">
        <f t="shared" ref="AE72:AF72" si="17">AE69+AE70+AE71</f>
        <v>0</v>
      </c>
      <c r="AF72" s="60">
        <f t="shared" si="17"/>
        <v>0</v>
      </c>
      <c r="AG72" s="61">
        <f>SUM(AG69:AG71)</f>
        <v>106</v>
      </c>
      <c r="AH72" s="47">
        <f t="shared" si="2"/>
        <v>99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-47</v>
      </c>
      <c r="C73" s="45">
        <v>-47</v>
      </c>
      <c r="D73" s="45">
        <v>-58</v>
      </c>
      <c r="E73" s="45">
        <v>-64.900000000000006</v>
      </c>
      <c r="F73" s="45">
        <v>-65.8</v>
      </c>
      <c r="G73" s="45">
        <v>-64.7</v>
      </c>
      <c r="H73" s="45">
        <v>-65</v>
      </c>
      <c r="I73" s="45">
        <v>-66.900000000000006</v>
      </c>
      <c r="J73" s="45">
        <v>-67.8</v>
      </c>
      <c r="K73" s="45">
        <v>-70.2</v>
      </c>
      <c r="L73" s="45">
        <v>-69.7</v>
      </c>
      <c r="M73" s="45">
        <v>-70</v>
      </c>
      <c r="N73" s="45">
        <v>-70</v>
      </c>
      <c r="O73" s="45">
        <v>-66</v>
      </c>
      <c r="P73" s="45">
        <v>-63.2</v>
      </c>
      <c r="Q73" s="45">
        <v>-58.2</v>
      </c>
      <c r="R73" s="45">
        <v>-58</v>
      </c>
      <c r="S73" s="45">
        <v>-55.2</v>
      </c>
      <c r="T73" s="45">
        <v>-58</v>
      </c>
      <c r="U73" s="45">
        <v>-61.3</v>
      </c>
      <c r="V73" s="45">
        <v>-60.1</v>
      </c>
      <c r="W73" s="45">
        <v>-60.3</v>
      </c>
      <c r="X73" s="45">
        <v>-55.9</v>
      </c>
      <c r="Y73" s="45">
        <v>-31.2</v>
      </c>
      <c r="Z73" s="45">
        <v>-38.9</v>
      </c>
      <c r="AA73" s="45">
        <v>-43.6</v>
      </c>
      <c r="AB73" s="45">
        <v>-9.1999999999999993</v>
      </c>
      <c r="AC73" s="45">
        <v>-20</v>
      </c>
      <c r="AD73" s="45">
        <v>-30</v>
      </c>
      <c r="AE73" s="45">
        <v>-70</v>
      </c>
      <c r="AF73" s="45">
        <v>-70</v>
      </c>
      <c r="AG73" s="51"/>
      <c r="AH73" s="47">
        <f t="shared" si="2"/>
        <v>-9.1999999999999993</v>
      </c>
      <c r="AI73" s="48">
        <f t="shared" si="3"/>
        <v>-70.2</v>
      </c>
      <c r="AK73" s="50"/>
    </row>
    <row r="74" spans="1:40" x14ac:dyDescent="0.25">
      <c r="A74" s="53" t="s">
        <v>82</v>
      </c>
      <c r="B74" s="64"/>
      <c r="C74" s="64"/>
      <c r="D74" s="64"/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>
        <v>0</v>
      </c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-417</v>
      </c>
      <c r="C75" s="64">
        <v>-390</v>
      </c>
      <c r="D75" s="64">
        <v>-468</v>
      </c>
      <c r="E75" s="64">
        <v>-469.8</v>
      </c>
      <c r="F75" s="64">
        <v>-498</v>
      </c>
      <c r="G75" s="64">
        <v>-475.1</v>
      </c>
      <c r="H75" s="64">
        <v>-481.9</v>
      </c>
      <c r="I75" s="64">
        <v>-472</v>
      </c>
      <c r="J75" s="64">
        <v>-502</v>
      </c>
      <c r="K75" s="64">
        <v>-497.3</v>
      </c>
      <c r="L75" s="64">
        <v>-556.9</v>
      </c>
      <c r="M75" s="64">
        <v>-558.70000000000005</v>
      </c>
      <c r="N75" s="64">
        <v>-565.6</v>
      </c>
      <c r="O75" s="64">
        <v>-570.29999999999995</v>
      </c>
      <c r="P75" s="64">
        <v>-530.6</v>
      </c>
      <c r="Q75" s="64">
        <v>-566.1</v>
      </c>
      <c r="R75" s="64">
        <v>-561.9</v>
      </c>
      <c r="S75" s="64">
        <v>-352</v>
      </c>
      <c r="T75" s="64">
        <v>-524</v>
      </c>
      <c r="U75" s="64">
        <v>-527</v>
      </c>
      <c r="V75" s="64">
        <v>-500.1</v>
      </c>
      <c r="W75" s="64">
        <v>-489</v>
      </c>
      <c r="X75" s="64">
        <v>-425</v>
      </c>
      <c r="Y75" s="64">
        <v>-454</v>
      </c>
      <c r="Z75" s="64">
        <v>-489</v>
      </c>
      <c r="AA75" s="64">
        <v>-517</v>
      </c>
      <c r="AB75" s="64">
        <v>-511</v>
      </c>
      <c r="AC75" s="64">
        <v>-520</v>
      </c>
      <c r="AD75" s="64">
        <v>-516</v>
      </c>
      <c r="AE75" s="64">
        <v>-520</v>
      </c>
      <c r="AF75" s="64">
        <v>-515</v>
      </c>
      <c r="AG75" s="74"/>
      <c r="AH75" s="47">
        <f t="shared" si="2"/>
        <v>-352</v>
      </c>
      <c r="AI75" s="48">
        <f t="shared" si="3"/>
        <v>-570.29999999999995</v>
      </c>
      <c r="AK75" s="50"/>
    </row>
    <row r="76" spans="1:40" x14ac:dyDescent="0.25">
      <c r="A76" s="53" t="s">
        <v>84</v>
      </c>
      <c r="B76" s="64"/>
      <c r="C76" s="64"/>
      <c r="D76" s="64"/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75">
        <v>0</v>
      </c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64"/>
      <c r="AF76" s="64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18">MAX(B77:AF77)</f>
        <v>0</v>
      </c>
      <c r="AI77" s="48">
        <f t="shared" ref="AI77:AI120" si="19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>
        <v>0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18"/>
        <v>0</v>
      </c>
      <c r="AI78" s="48">
        <f t="shared" si="19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>
        <v>0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18"/>
        <v>0</v>
      </c>
      <c r="AI79" s="48">
        <f t="shared" si="1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>
        <v>0</v>
      </c>
      <c r="F80" s="76">
        <v>0</v>
      </c>
      <c r="G80" s="76">
        <v>0</v>
      </c>
      <c r="H80" s="76">
        <v>0</v>
      </c>
      <c r="I80" s="76">
        <v>0</v>
      </c>
      <c r="J80" s="76">
        <v>0</v>
      </c>
      <c r="K80" s="76">
        <v>0</v>
      </c>
      <c r="L80" s="76">
        <v>0</v>
      </c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18"/>
        <v>0</v>
      </c>
      <c r="AI80" s="48">
        <f t="shared" si="1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>
        <v>0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18"/>
        <v>0</v>
      </c>
      <c r="AI81" s="48">
        <f t="shared" si="1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>
        <v>0</v>
      </c>
      <c r="F82" s="76">
        <v>0</v>
      </c>
      <c r="G82" s="76">
        <v>0</v>
      </c>
      <c r="H82" s="76">
        <v>0</v>
      </c>
      <c r="I82" s="76">
        <v>0</v>
      </c>
      <c r="J82" s="76">
        <v>0</v>
      </c>
      <c r="K82" s="76">
        <v>0</v>
      </c>
      <c r="L82" s="76">
        <v>0</v>
      </c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18"/>
        <v>0</v>
      </c>
      <c r="AI82" s="48">
        <f t="shared" si="1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>
        <v>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18"/>
        <v>0</v>
      </c>
      <c r="AI83" s="48">
        <f t="shared" si="1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D84" si="20">SUMIF(B73:B83,"&gt;0")</f>
        <v>0</v>
      </c>
      <c r="C84" s="60">
        <f t="shared" si="20"/>
        <v>0</v>
      </c>
      <c r="D84" s="60">
        <f t="shared" si="20"/>
        <v>0</v>
      </c>
      <c r="E84" s="60">
        <f t="shared" si="20"/>
        <v>0</v>
      </c>
      <c r="F84" s="60">
        <f t="shared" si="20"/>
        <v>0</v>
      </c>
      <c r="G84" s="60">
        <f t="shared" si="20"/>
        <v>0</v>
      </c>
      <c r="H84" s="60">
        <f t="shared" si="20"/>
        <v>0</v>
      </c>
      <c r="I84" s="60">
        <f t="shared" si="20"/>
        <v>0</v>
      </c>
      <c r="J84" s="60">
        <f t="shared" si="20"/>
        <v>0</v>
      </c>
      <c r="K84" s="60">
        <f t="shared" si="20"/>
        <v>0</v>
      </c>
      <c r="L84" s="60">
        <f t="shared" si="20"/>
        <v>0</v>
      </c>
      <c r="M84" s="60">
        <f t="shared" si="20"/>
        <v>0</v>
      </c>
      <c r="N84" s="60">
        <f t="shared" si="20"/>
        <v>0</v>
      </c>
      <c r="O84" s="60">
        <f t="shared" si="20"/>
        <v>0</v>
      </c>
      <c r="P84" s="60">
        <f t="shared" si="20"/>
        <v>0</v>
      </c>
      <c r="Q84" s="60">
        <f t="shared" si="20"/>
        <v>0</v>
      </c>
      <c r="R84" s="60">
        <f t="shared" si="20"/>
        <v>0</v>
      </c>
      <c r="S84" s="60">
        <f t="shared" si="20"/>
        <v>0</v>
      </c>
      <c r="T84" s="60">
        <f t="shared" si="20"/>
        <v>0</v>
      </c>
      <c r="U84" s="60">
        <f t="shared" si="20"/>
        <v>0</v>
      </c>
      <c r="V84" s="60">
        <f t="shared" si="20"/>
        <v>0</v>
      </c>
      <c r="W84" s="60">
        <f t="shared" si="20"/>
        <v>0</v>
      </c>
      <c r="X84" s="60">
        <f t="shared" si="20"/>
        <v>0</v>
      </c>
      <c r="Y84" s="60">
        <f t="shared" si="20"/>
        <v>0</v>
      </c>
      <c r="Z84" s="60">
        <f t="shared" si="20"/>
        <v>0</v>
      </c>
      <c r="AA84" s="60">
        <f t="shared" si="20"/>
        <v>0</v>
      </c>
      <c r="AB84" s="60">
        <f t="shared" ref="AB84" si="21">SUMIF(AB73:AB83,"&gt;0")</f>
        <v>0</v>
      </c>
      <c r="AC84" s="60">
        <f t="shared" si="20"/>
        <v>0</v>
      </c>
      <c r="AD84" s="60">
        <f t="shared" si="20"/>
        <v>0</v>
      </c>
      <c r="AE84" s="60">
        <f t="shared" ref="AE84:AF84" si="22">SUMIF(AE73:AE83,"&gt;0")</f>
        <v>0</v>
      </c>
      <c r="AF84" s="60">
        <f t="shared" si="22"/>
        <v>0</v>
      </c>
      <c r="AG84" s="87">
        <f>SUM(AG73:AG83)</f>
        <v>0</v>
      </c>
      <c r="AH84" s="47">
        <f t="shared" si="18"/>
        <v>0</v>
      </c>
      <c r="AI84" s="48">
        <f t="shared" si="1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8"/>
        <v>0</v>
      </c>
      <c r="AI85" s="48">
        <f t="shared" si="1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8"/>
        <v>0</v>
      </c>
      <c r="AI86" s="48">
        <f t="shared" si="1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8"/>
        <v>0</v>
      </c>
      <c r="AI87" s="48">
        <f t="shared" si="1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8"/>
        <v>0</v>
      </c>
      <c r="AI88" s="48">
        <f t="shared" si="19"/>
        <v>0</v>
      </c>
    </row>
    <row r="89" spans="1:40" ht="15.75" thickBot="1" x14ac:dyDescent="0.3">
      <c r="A89" s="73" t="s">
        <v>100</v>
      </c>
      <c r="B89" s="94">
        <f t="shared" ref="B89:AG89" si="23">B50+B54+B72+B68+B84+B88</f>
        <v>1951.4400000000003</v>
      </c>
      <c r="C89" s="94">
        <f t="shared" si="23"/>
        <v>1951.4400000000003</v>
      </c>
      <c r="D89" s="94">
        <f t="shared" si="23"/>
        <v>1966.4400000000003</v>
      </c>
      <c r="E89" s="94">
        <f t="shared" si="23"/>
        <v>1951.4400000000003</v>
      </c>
      <c r="F89" s="94">
        <f t="shared" si="23"/>
        <v>1961.4400000000003</v>
      </c>
      <c r="G89" s="94">
        <f t="shared" si="23"/>
        <v>1959.6400000000003</v>
      </c>
      <c r="H89" s="94">
        <f t="shared" si="23"/>
        <v>1995.2399999999998</v>
      </c>
      <c r="I89" s="94">
        <f t="shared" si="23"/>
        <v>2035.34</v>
      </c>
      <c r="J89" s="94">
        <f t="shared" si="23"/>
        <v>2056.3399999999997</v>
      </c>
      <c r="K89" s="94">
        <f t="shared" si="23"/>
        <v>2102.04</v>
      </c>
      <c r="L89" s="94">
        <f t="shared" si="23"/>
        <v>2185.64</v>
      </c>
      <c r="M89" s="94">
        <f t="shared" si="23"/>
        <v>2162.54</v>
      </c>
      <c r="N89" s="94">
        <f t="shared" si="23"/>
        <v>2124.7399999999998</v>
      </c>
      <c r="O89" s="94">
        <f t="shared" si="23"/>
        <v>2119.1400000000003</v>
      </c>
      <c r="P89" s="94">
        <f t="shared" si="23"/>
        <v>2069.54</v>
      </c>
      <c r="Q89" s="94">
        <f t="shared" si="23"/>
        <v>2076.44</v>
      </c>
      <c r="R89" s="94">
        <f t="shared" si="23"/>
        <v>2106.04</v>
      </c>
      <c r="S89" s="94">
        <f t="shared" si="23"/>
        <v>1798.04</v>
      </c>
      <c r="T89" s="94">
        <f t="shared" si="23"/>
        <v>2018.1399999999999</v>
      </c>
      <c r="U89" s="94">
        <f t="shared" si="23"/>
        <v>2027.84</v>
      </c>
      <c r="V89" s="94">
        <f t="shared" si="23"/>
        <v>2041.6399999999999</v>
      </c>
      <c r="W89" s="94">
        <f t="shared" si="23"/>
        <v>2063.7399999999998</v>
      </c>
      <c r="X89" s="94">
        <f t="shared" si="23"/>
        <v>2160.94</v>
      </c>
      <c r="Y89" s="94">
        <f t="shared" si="23"/>
        <v>2228.54</v>
      </c>
      <c r="Z89" s="94">
        <f t="shared" si="23"/>
        <v>2217.54</v>
      </c>
      <c r="AA89" s="94">
        <f t="shared" si="23"/>
        <v>2212.54</v>
      </c>
      <c r="AB89" s="94">
        <f t="shared" ref="AB89" si="24">AB50+AB54+AB72+AB68+AB84+AB88</f>
        <v>2127.34</v>
      </c>
      <c r="AC89" s="94">
        <f t="shared" si="23"/>
        <v>2089.64</v>
      </c>
      <c r="AD89" s="94">
        <f t="shared" si="23"/>
        <v>2089.64</v>
      </c>
      <c r="AE89" s="94">
        <f t="shared" ref="AE89:AF89" si="25">AE50+AE54+AE72+AE68+AE84+AE88</f>
        <v>2061.1400000000003</v>
      </c>
      <c r="AF89" s="94">
        <f t="shared" si="25"/>
        <v>2024.14</v>
      </c>
      <c r="AG89" s="61">
        <f t="shared" si="23"/>
        <v>2111.5500000000002</v>
      </c>
      <c r="AH89" s="47">
        <f t="shared" si="18"/>
        <v>2228.54</v>
      </c>
      <c r="AI89" s="48">
        <f t="shared" si="19"/>
        <v>1798.04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>
        <v>-100</v>
      </c>
      <c r="O90" s="96">
        <v>-100</v>
      </c>
      <c r="P90" s="96">
        <v>-100</v>
      </c>
      <c r="Q90" s="96"/>
      <c r="R90" s="96"/>
      <c r="S90" s="96">
        <v>200</v>
      </c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8"/>
        <v>200</v>
      </c>
      <c r="AI90" s="48">
        <f t="shared" si="19"/>
        <v>-100</v>
      </c>
    </row>
    <row r="91" spans="1:40" ht="15.75" thickBot="1" x14ac:dyDescent="0.3">
      <c r="A91" s="73" t="s">
        <v>102</v>
      </c>
      <c r="B91" s="94">
        <f t="shared" ref="B91:AD91" si="26">B89+B90</f>
        <v>1951.4400000000003</v>
      </c>
      <c r="C91" s="94">
        <f t="shared" si="26"/>
        <v>1951.4400000000003</v>
      </c>
      <c r="D91" s="94">
        <f t="shared" si="26"/>
        <v>1966.4400000000003</v>
      </c>
      <c r="E91" s="94">
        <f t="shared" si="26"/>
        <v>1951.4400000000003</v>
      </c>
      <c r="F91" s="94">
        <f t="shared" si="26"/>
        <v>1961.4400000000003</v>
      </c>
      <c r="G91" s="94">
        <f t="shared" si="26"/>
        <v>1959.6400000000003</v>
      </c>
      <c r="H91" s="94">
        <f t="shared" si="26"/>
        <v>1995.2399999999998</v>
      </c>
      <c r="I91" s="94">
        <f t="shared" si="26"/>
        <v>2035.34</v>
      </c>
      <c r="J91" s="94">
        <f t="shared" si="26"/>
        <v>2056.3399999999997</v>
      </c>
      <c r="K91" s="94">
        <f t="shared" si="26"/>
        <v>2102.04</v>
      </c>
      <c r="L91" s="94">
        <f t="shared" si="26"/>
        <v>2185.64</v>
      </c>
      <c r="M91" s="94">
        <f t="shared" si="26"/>
        <v>2162.54</v>
      </c>
      <c r="N91" s="94">
        <f t="shared" si="26"/>
        <v>2024.7399999999998</v>
      </c>
      <c r="O91" s="94">
        <f t="shared" si="26"/>
        <v>2019.1400000000003</v>
      </c>
      <c r="P91" s="94">
        <f t="shared" si="26"/>
        <v>1969.54</v>
      </c>
      <c r="Q91" s="94">
        <f t="shared" si="26"/>
        <v>2076.44</v>
      </c>
      <c r="R91" s="94">
        <f t="shared" si="26"/>
        <v>2106.04</v>
      </c>
      <c r="S91" s="94">
        <f t="shared" si="26"/>
        <v>1998.04</v>
      </c>
      <c r="T91" s="94">
        <f t="shared" si="26"/>
        <v>2018.1399999999999</v>
      </c>
      <c r="U91" s="94">
        <f t="shared" si="26"/>
        <v>2027.84</v>
      </c>
      <c r="V91" s="94">
        <f t="shared" si="26"/>
        <v>2041.6399999999999</v>
      </c>
      <c r="W91" s="94">
        <f t="shared" si="26"/>
        <v>2063.7399999999998</v>
      </c>
      <c r="X91" s="94">
        <f t="shared" si="26"/>
        <v>2160.94</v>
      </c>
      <c r="Y91" s="94">
        <f t="shared" si="26"/>
        <v>2228.54</v>
      </c>
      <c r="Z91" s="94">
        <f t="shared" si="26"/>
        <v>2217.54</v>
      </c>
      <c r="AA91" s="94">
        <f t="shared" si="26"/>
        <v>2212.54</v>
      </c>
      <c r="AB91" s="94">
        <f t="shared" ref="AB91" si="27">AB89+AB90</f>
        <v>2127.34</v>
      </c>
      <c r="AC91" s="94">
        <f t="shared" si="26"/>
        <v>2089.64</v>
      </c>
      <c r="AD91" s="94">
        <f t="shared" si="26"/>
        <v>2089.64</v>
      </c>
      <c r="AE91" s="94">
        <f t="shared" ref="AE91:AF91" si="28">AE89+AE90</f>
        <v>2061.1400000000003</v>
      </c>
      <c r="AF91" s="94">
        <f t="shared" si="28"/>
        <v>2024.14</v>
      </c>
      <c r="AG91" s="87">
        <f>AG88+AG84+AG72+AG68+AG50+AG90</f>
        <v>1573.45</v>
      </c>
      <c r="AH91" s="47">
        <f t="shared" si="18"/>
        <v>2228.54</v>
      </c>
      <c r="AI91" s="48">
        <f t="shared" si="19"/>
        <v>1951.4400000000003</v>
      </c>
    </row>
    <row r="92" spans="1:40" ht="15.75" thickBot="1" x14ac:dyDescent="0.3">
      <c r="A92" s="73" t="s">
        <v>103</v>
      </c>
      <c r="B92" s="94">
        <f>B91-(-B99)</f>
        <v>1534.4400000000003</v>
      </c>
      <c r="C92" s="94">
        <f t="shared" ref="C92:AD92" si="29">C91-(-C99)</f>
        <v>1561.4400000000003</v>
      </c>
      <c r="D92" s="94">
        <f t="shared" si="29"/>
        <v>1498.4400000000003</v>
      </c>
      <c r="E92" s="94">
        <f t="shared" si="29"/>
        <v>1481.6400000000003</v>
      </c>
      <c r="F92" s="94">
        <f t="shared" si="29"/>
        <v>1463.4400000000003</v>
      </c>
      <c r="G92" s="94">
        <f t="shared" si="29"/>
        <v>1484.5400000000004</v>
      </c>
      <c r="H92" s="94">
        <f t="shared" si="29"/>
        <v>1513.3399999999997</v>
      </c>
      <c r="I92" s="94">
        <f t="shared" si="29"/>
        <v>1563.34</v>
      </c>
      <c r="J92" s="94">
        <f t="shared" si="29"/>
        <v>1554.3399999999997</v>
      </c>
      <c r="K92" s="94">
        <f t="shared" si="29"/>
        <v>1604.74</v>
      </c>
      <c r="L92" s="94">
        <f t="shared" si="29"/>
        <v>1628.7399999999998</v>
      </c>
      <c r="M92" s="94">
        <f t="shared" si="29"/>
        <v>1603.84</v>
      </c>
      <c r="N92" s="94">
        <f t="shared" si="29"/>
        <v>1459.1399999999999</v>
      </c>
      <c r="O92" s="94">
        <f t="shared" si="29"/>
        <v>1448.8400000000004</v>
      </c>
      <c r="P92" s="94">
        <f t="shared" si="29"/>
        <v>1438.94</v>
      </c>
      <c r="Q92" s="94">
        <f t="shared" si="29"/>
        <v>1510.3400000000001</v>
      </c>
      <c r="R92" s="94">
        <f t="shared" si="29"/>
        <v>1544.1399999999999</v>
      </c>
      <c r="S92" s="94">
        <f t="shared" si="29"/>
        <v>1646.04</v>
      </c>
      <c r="T92" s="94">
        <f t="shared" si="29"/>
        <v>1494.1399999999999</v>
      </c>
      <c r="U92" s="94">
        <f t="shared" si="29"/>
        <v>1500.84</v>
      </c>
      <c r="V92" s="94">
        <f t="shared" si="29"/>
        <v>1541.54</v>
      </c>
      <c r="W92" s="94">
        <f t="shared" si="29"/>
        <v>1574.7399999999998</v>
      </c>
      <c r="X92" s="94">
        <f t="shared" si="29"/>
        <v>1735.94</v>
      </c>
      <c r="Y92" s="94">
        <f t="shared" si="29"/>
        <v>1774.54</v>
      </c>
      <c r="Z92" s="94">
        <f t="shared" si="29"/>
        <v>1728.54</v>
      </c>
      <c r="AA92" s="94">
        <f t="shared" si="29"/>
        <v>1695.54</v>
      </c>
      <c r="AB92" s="94">
        <f t="shared" ref="AB92" si="30">AB91-(-AB99)</f>
        <v>1616.3400000000001</v>
      </c>
      <c r="AC92" s="94">
        <f t="shared" si="29"/>
        <v>1569.6399999999999</v>
      </c>
      <c r="AD92" s="94">
        <f t="shared" si="29"/>
        <v>1573.6399999999999</v>
      </c>
      <c r="AE92" s="94">
        <f t="shared" ref="AE92:AF92" si="31">AE91-(-AE99)</f>
        <v>1541.1400000000003</v>
      </c>
      <c r="AF92" s="94">
        <f t="shared" si="31"/>
        <v>1509.14</v>
      </c>
      <c r="AG92" s="87"/>
      <c r="AH92" s="47">
        <f t="shared" si="18"/>
        <v>1774.54</v>
      </c>
      <c r="AI92" s="48">
        <f t="shared" si="19"/>
        <v>1438.94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8"/>
        <v>0</v>
      </c>
      <c r="AI93" s="48">
        <f t="shared" si="1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8"/>
        <v>0</v>
      </c>
      <c r="AI94" s="48">
        <f t="shared" si="1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8"/>
        <v>0</v>
      </c>
      <c r="AI95" s="48">
        <f t="shared" si="1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8"/>
        <v>0</v>
      </c>
      <c r="AI96" s="48">
        <f t="shared" si="1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8"/>
        <v>0</v>
      </c>
      <c r="AI97" s="48">
        <f t="shared" si="1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8"/>
        <v>0</v>
      </c>
      <c r="AI98" s="48">
        <f t="shared" si="19"/>
        <v>0</v>
      </c>
    </row>
    <row r="99" spans="1:37" ht="15.75" thickBot="1" x14ac:dyDescent="0.3">
      <c r="A99" s="98" t="s">
        <v>107</v>
      </c>
      <c r="B99" s="60">
        <f>B75</f>
        <v>-417</v>
      </c>
      <c r="C99" s="60">
        <f t="shared" ref="C99:AD99" si="32">C75</f>
        <v>-390</v>
      </c>
      <c r="D99" s="60">
        <f t="shared" si="32"/>
        <v>-468</v>
      </c>
      <c r="E99" s="60">
        <f t="shared" si="32"/>
        <v>-469.8</v>
      </c>
      <c r="F99" s="60">
        <f t="shared" si="32"/>
        <v>-498</v>
      </c>
      <c r="G99" s="60">
        <f t="shared" si="32"/>
        <v>-475.1</v>
      </c>
      <c r="H99" s="60">
        <f t="shared" si="32"/>
        <v>-481.9</v>
      </c>
      <c r="I99" s="60">
        <f t="shared" si="32"/>
        <v>-472</v>
      </c>
      <c r="J99" s="60">
        <f t="shared" si="32"/>
        <v>-502</v>
      </c>
      <c r="K99" s="60">
        <f t="shared" si="32"/>
        <v>-497.3</v>
      </c>
      <c r="L99" s="60">
        <f t="shared" si="32"/>
        <v>-556.9</v>
      </c>
      <c r="M99" s="60">
        <f t="shared" si="32"/>
        <v>-558.70000000000005</v>
      </c>
      <c r="N99" s="60">
        <f t="shared" si="32"/>
        <v>-565.6</v>
      </c>
      <c r="O99" s="60">
        <f t="shared" si="32"/>
        <v>-570.29999999999995</v>
      </c>
      <c r="P99" s="60">
        <f t="shared" si="32"/>
        <v>-530.6</v>
      </c>
      <c r="Q99" s="60">
        <f t="shared" si="32"/>
        <v>-566.1</v>
      </c>
      <c r="R99" s="60">
        <f t="shared" si="32"/>
        <v>-561.9</v>
      </c>
      <c r="S99" s="60">
        <f t="shared" si="32"/>
        <v>-352</v>
      </c>
      <c r="T99" s="60">
        <f t="shared" si="32"/>
        <v>-524</v>
      </c>
      <c r="U99" s="60">
        <f t="shared" si="32"/>
        <v>-527</v>
      </c>
      <c r="V99" s="60">
        <f t="shared" si="32"/>
        <v>-500.1</v>
      </c>
      <c r="W99" s="60">
        <f t="shared" si="32"/>
        <v>-489</v>
      </c>
      <c r="X99" s="60">
        <f t="shared" si="32"/>
        <v>-425</v>
      </c>
      <c r="Y99" s="60">
        <f t="shared" si="32"/>
        <v>-454</v>
      </c>
      <c r="Z99" s="60">
        <f t="shared" si="32"/>
        <v>-489</v>
      </c>
      <c r="AA99" s="60">
        <f t="shared" si="32"/>
        <v>-517</v>
      </c>
      <c r="AB99" s="60">
        <f t="shared" ref="AB99" si="33">AB75</f>
        <v>-511</v>
      </c>
      <c r="AC99" s="60">
        <f t="shared" si="32"/>
        <v>-520</v>
      </c>
      <c r="AD99" s="60">
        <f t="shared" si="32"/>
        <v>-516</v>
      </c>
      <c r="AE99" s="60">
        <f t="shared" ref="AE99:AF99" si="34">AE75</f>
        <v>-520</v>
      </c>
      <c r="AF99" s="60">
        <f t="shared" si="34"/>
        <v>-515</v>
      </c>
      <c r="AG99" s="87"/>
      <c r="AH99" s="47">
        <f t="shared" si="18"/>
        <v>-352</v>
      </c>
      <c r="AI99" s="48">
        <f t="shared" si="19"/>
        <v>-570.29999999999995</v>
      </c>
      <c r="AK99" s="50"/>
    </row>
    <row r="100" spans="1:37" ht="15.75" thickBot="1" x14ac:dyDescent="0.3">
      <c r="A100" s="73" t="s">
        <v>108</v>
      </c>
      <c r="B100" s="60">
        <f t="shared" ref="B100:AD100" si="35">B84-B99</f>
        <v>417</v>
      </c>
      <c r="C100" s="60">
        <f t="shared" si="35"/>
        <v>390</v>
      </c>
      <c r="D100" s="60">
        <f t="shared" si="35"/>
        <v>468</v>
      </c>
      <c r="E100" s="60">
        <f t="shared" si="35"/>
        <v>469.8</v>
      </c>
      <c r="F100" s="60">
        <f t="shared" si="35"/>
        <v>498</v>
      </c>
      <c r="G100" s="60">
        <f t="shared" si="35"/>
        <v>475.1</v>
      </c>
      <c r="H100" s="60">
        <f t="shared" si="35"/>
        <v>481.9</v>
      </c>
      <c r="I100" s="60">
        <f t="shared" si="35"/>
        <v>472</v>
      </c>
      <c r="J100" s="60">
        <f t="shared" si="35"/>
        <v>502</v>
      </c>
      <c r="K100" s="60">
        <f t="shared" si="35"/>
        <v>497.3</v>
      </c>
      <c r="L100" s="60">
        <f t="shared" si="35"/>
        <v>556.9</v>
      </c>
      <c r="M100" s="60">
        <f t="shared" si="35"/>
        <v>558.70000000000005</v>
      </c>
      <c r="N100" s="60">
        <f t="shared" si="35"/>
        <v>565.6</v>
      </c>
      <c r="O100" s="60">
        <f t="shared" si="35"/>
        <v>570.29999999999995</v>
      </c>
      <c r="P100" s="60">
        <f t="shared" si="35"/>
        <v>530.6</v>
      </c>
      <c r="Q100" s="60">
        <f t="shared" si="35"/>
        <v>566.1</v>
      </c>
      <c r="R100" s="60">
        <f t="shared" si="35"/>
        <v>561.9</v>
      </c>
      <c r="S100" s="60">
        <f t="shared" si="35"/>
        <v>352</v>
      </c>
      <c r="T100" s="60">
        <f t="shared" si="35"/>
        <v>524</v>
      </c>
      <c r="U100" s="60">
        <f t="shared" si="35"/>
        <v>527</v>
      </c>
      <c r="V100" s="60">
        <f t="shared" si="35"/>
        <v>500.1</v>
      </c>
      <c r="W100" s="60">
        <f t="shared" si="35"/>
        <v>489</v>
      </c>
      <c r="X100" s="60">
        <f t="shared" si="35"/>
        <v>425</v>
      </c>
      <c r="Y100" s="60">
        <f t="shared" si="35"/>
        <v>454</v>
      </c>
      <c r="Z100" s="60">
        <f t="shared" si="35"/>
        <v>489</v>
      </c>
      <c r="AA100" s="60">
        <f t="shared" si="35"/>
        <v>517</v>
      </c>
      <c r="AB100" s="60">
        <f t="shared" ref="AB100" si="36">AB84-AB99</f>
        <v>511</v>
      </c>
      <c r="AC100" s="60">
        <f t="shared" si="35"/>
        <v>520</v>
      </c>
      <c r="AD100" s="60">
        <f t="shared" si="35"/>
        <v>516</v>
      </c>
      <c r="AE100" s="60">
        <f t="shared" ref="AE100:AF100" si="37">AE84-AE99</f>
        <v>520</v>
      </c>
      <c r="AF100" s="60">
        <f t="shared" si="37"/>
        <v>515</v>
      </c>
      <c r="AG100" s="87"/>
      <c r="AH100" s="47">
        <f t="shared" si="18"/>
        <v>570.29999999999995</v>
      </c>
      <c r="AI100" s="48">
        <f t="shared" si="19"/>
        <v>352</v>
      </c>
    </row>
    <row r="101" spans="1:37" x14ac:dyDescent="0.25">
      <c r="A101" s="99" t="s">
        <v>109</v>
      </c>
      <c r="B101" s="100">
        <v>50.006</v>
      </c>
      <c r="C101" s="100">
        <v>50.006</v>
      </c>
      <c r="D101" s="100">
        <v>49.92</v>
      </c>
      <c r="E101" s="100">
        <v>49.97</v>
      </c>
      <c r="F101" s="100">
        <v>50.005000000000003</v>
      </c>
      <c r="G101" s="100">
        <v>50.018000000000001</v>
      </c>
      <c r="H101" s="100">
        <v>49.893000000000001</v>
      </c>
      <c r="I101" s="100">
        <v>50.091999999999999</v>
      </c>
      <c r="J101" s="100">
        <v>50.027999999999999</v>
      </c>
      <c r="K101" s="100">
        <v>49.984999999999999</v>
      </c>
      <c r="L101" s="100">
        <v>49.872</v>
      </c>
      <c r="M101" s="100">
        <v>49.975000000000001</v>
      </c>
      <c r="N101" s="100">
        <v>50.073999999999998</v>
      </c>
      <c r="O101" s="100">
        <v>49.945</v>
      </c>
      <c r="P101" s="100">
        <v>50.031999999999996</v>
      </c>
      <c r="Q101" s="100">
        <v>49.957000000000001</v>
      </c>
      <c r="R101" s="100">
        <v>49.97</v>
      </c>
      <c r="S101" s="100">
        <v>49.970999999999997</v>
      </c>
      <c r="T101" s="100">
        <v>49.85</v>
      </c>
      <c r="U101" s="100">
        <v>49.841999999999999</v>
      </c>
      <c r="V101" s="100">
        <v>49.784999999999997</v>
      </c>
      <c r="W101" s="100">
        <v>49.776000000000003</v>
      </c>
      <c r="X101" s="100">
        <v>49.814</v>
      </c>
      <c r="Y101" s="100">
        <v>49.713999999999999</v>
      </c>
      <c r="Z101" s="100">
        <v>49.796999999999997</v>
      </c>
      <c r="AA101" s="100">
        <v>49.996000000000002</v>
      </c>
      <c r="AB101" s="100">
        <v>50.078000000000003</v>
      </c>
      <c r="AC101" s="100">
        <v>50.05</v>
      </c>
      <c r="AD101" s="100">
        <v>50.1</v>
      </c>
      <c r="AE101" s="100">
        <v>50.07</v>
      </c>
      <c r="AF101" s="100">
        <v>50.02</v>
      </c>
      <c r="AG101" s="101"/>
      <c r="AH101" s="47">
        <f t="shared" si="18"/>
        <v>50.1</v>
      </c>
      <c r="AI101" s="48">
        <f t="shared" si="19"/>
        <v>49.713999999999999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8"/>
        <v>0</v>
      </c>
      <c r="AI102" s="48">
        <f t="shared" si="19"/>
        <v>0</v>
      </c>
    </row>
    <row r="103" spans="1:37" x14ac:dyDescent="0.25">
      <c r="A103" s="102" t="s">
        <v>111</v>
      </c>
      <c r="B103" s="64">
        <v>130</v>
      </c>
      <c r="C103" s="64">
        <v>130</v>
      </c>
      <c r="D103" s="64">
        <v>130.9</v>
      </c>
      <c r="E103" s="64">
        <v>130.6</v>
      </c>
      <c r="F103" s="64">
        <v>128.30000000000001</v>
      </c>
      <c r="G103" s="64">
        <v>129.6</v>
      </c>
      <c r="H103" s="64">
        <v>128.30000000000001</v>
      </c>
      <c r="I103" s="64">
        <v>128.30000000000001</v>
      </c>
      <c r="J103" s="64">
        <v>128</v>
      </c>
      <c r="K103" s="64">
        <v>128.30000000000001</v>
      </c>
      <c r="L103" s="64">
        <v>128.19999999999999</v>
      </c>
      <c r="M103" s="64">
        <v>127.8</v>
      </c>
      <c r="N103" s="64">
        <v>126.8</v>
      </c>
      <c r="O103" s="64">
        <v>126.7</v>
      </c>
      <c r="P103" s="64">
        <v>127.8</v>
      </c>
      <c r="Q103" s="64">
        <v>125.1</v>
      </c>
      <c r="R103" s="64">
        <v>127.2</v>
      </c>
      <c r="S103" s="64">
        <v>127.8</v>
      </c>
      <c r="T103" s="64">
        <v>126.8</v>
      </c>
      <c r="U103" s="64">
        <v>127</v>
      </c>
      <c r="V103" s="64">
        <v>127.1</v>
      </c>
      <c r="W103" s="64">
        <v>127.7</v>
      </c>
      <c r="X103" s="64">
        <v>129</v>
      </c>
      <c r="Y103" s="64">
        <v>128.69999999999999</v>
      </c>
      <c r="Z103" s="64">
        <v>129</v>
      </c>
      <c r="AA103" s="64">
        <v>129.1</v>
      </c>
      <c r="AB103" s="64">
        <v>128.4</v>
      </c>
      <c r="AC103" s="64">
        <v>128</v>
      </c>
      <c r="AD103" s="64">
        <v>128</v>
      </c>
      <c r="AE103" s="64">
        <v>128</v>
      </c>
      <c r="AF103" s="64">
        <v>128</v>
      </c>
      <c r="AG103" s="103"/>
      <c r="AH103" s="47">
        <f t="shared" si="18"/>
        <v>130.9</v>
      </c>
      <c r="AI103" s="48">
        <f t="shared" si="19"/>
        <v>125.1</v>
      </c>
    </row>
    <row r="104" spans="1:37" x14ac:dyDescent="0.25">
      <c r="A104" s="102" t="s">
        <v>112</v>
      </c>
      <c r="B104" s="64">
        <v>130.9</v>
      </c>
      <c r="C104" s="64">
        <v>130.9</v>
      </c>
      <c r="D104" s="64">
        <v>129.4</v>
      </c>
      <c r="E104" s="64">
        <v>129.69999999999999</v>
      </c>
      <c r="F104" s="64">
        <v>128.6</v>
      </c>
      <c r="G104" s="64">
        <v>129.5</v>
      </c>
      <c r="H104" s="64">
        <v>130.1</v>
      </c>
      <c r="I104" s="64">
        <v>129.4</v>
      </c>
      <c r="J104" s="64">
        <v>127</v>
      </c>
      <c r="K104" s="64">
        <v>128.19999999999999</v>
      </c>
      <c r="L104" s="64">
        <v>126.2</v>
      </c>
      <c r="M104" s="64">
        <v>126.2</v>
      </c>
      <c r="N104" s="64">
        <v>128.80000000000001</v>
      </c>
      <c r="O104" s="64">
        <v>129</v>
      </c>
      <c r="P104" s="64">
        <v>129.1</v>
      </c>
      <c r="Q104" s="64">
        <v>126.9</v>
      </c>
      <c r="R104" s="64">
        <v>130.6</v>
      </c>
      <c r="S104" s="64">
        <v>130.69999999999999</v>
      </c>
      <c r="T104" s="64">
        <v>129</v>
      </c>
      <c r="U104" s="64">
        <v>129.6</v>
      </c>
      <c r="V104" s="64">
        <v>127.7</v>
      </c>
      <c r="W104" s="64">
        <v>128.6</v>
      </c>
      <c r="X104" s="64">
        <v>128.69999999999999</v>
      </c>
      <c r="Y104" s="64">
        <v>128.30000000000001</v>
      </c>
      <c r="Z104" s="64">
        <v>130.19999999999999</v>
      </c>
      <c r="AA104" s="64">
        <v>130.4</v>
      </c>
      <c r="AB104" s="64">
        <v>129.80000000000001</v>
      </c>
      <c r="AC104" s="64">
        <v>129.80000000000001</v>
      </c>
      <c r="AD104" s="64">
        <v>127</v>
      </c>
      <c r="AE104" s="64">
        <v>127</v>
      </c>
      <c r="AF104" s="64">
        <v>127</v>
      </c>
      <c r="AG104" s="103"/>
      <c r="AH104" s="47">
        <f t="shared" si="18"/>
        <v>130.9</v>
      </c>
      <c r="AI104" s="48">
        <f t="shared" si="19"/>
        <v>126.2</v>
      </c>
    </row>
    <row r="105" spans="1:37" x14ac:dyDescent="0.25">
      <c r="A105" s="104" t="s">
        <v>113</v>
      </c>
      <c r="B105" s="64">
        <v>133.5</v>
      </c>
      <c r="C105" s="64">
        <v>133.5</v>
      </c>
      <c r="D105" s="64">
        <v>132.9</v>
      </c>
      <c r="E105" s="64">
        <v>133.69999999999999</v>
      </c>
      <c r="F105" s="64">
        <v>132.5</v>
      </c>
      <c r="G105" s="64">
        <v>133.5</v>
      </c>
      <c r="H105" s="64">
        <v>133.6</v>
      </c>
      <c r="I105" s="64">
        <v>132.4</v>
      </c>
      <c r="J105" s="64">
        <v>130.6</v>
      </c>
      <c r="K105" s="64">
        <v>132.30000000000001</v>
      </c>
      <c r="L105" s="64">
        <v>129.69999999999999</v>
      </c>
      <c r="M105" s="64">
        <v>129.69999999999999</v>
      </c>
      <c r="N105" s="64">
        <v>131.30000000000001</v>
      </c>
      <c r="O105" s="64">
        <v>132.5</v>
      </c>
      <c r="P105" s="64">
        <v>132.5</v>
      </c>
      <c r="Q105" s="64">
        <v>130.19999999999999</v>
      </c>
      <c r="R105" s="64">
        <v>133.9</v>
      </c>
      <c r="S105" s="64">
        <v>134.1</v>
      </c>
      <c r="T105" s="64">
        <v>131.19999999999999</v>
      </c>
      <c r="U105" s="64">
        <v>132.1</v>
      </c>
      <c r="V105" s="64">
        <v>130.1</v>
      </c>
      <c r="W105" s="64">
        <v>130</v>
      </c>
      <c r="X105" s="64">
        <v>131.19999999999999</v>
      </c>
      <c r="Y105" s="64">
        <v>132.1</v>
      </c>
      <c r="Z105" s="64">
        <v>133.4</v>
      </c>
      <c r="AA105" s="64">
        <v>133.6</v>
      </c>
      <c r="AB105" s="64">
        <v>131.30000000000001</v>
      </c>
      <c r="AC105" s="64">
        <v>131.30000000000001</v>
      </c>
      <c r="AD105" s="64">
        <v>1269</v>
      </c>
      <c r="AE105" s="64">
        <v>1269</v>
      </c>
      <c r="AF105" s="64">
        <v>1269</v>
      </c>
      <c r="AG105" s="103"/>
      <c r="AH105" s="47">
        <f t="shared" si="18"/>
        <v>1269</v>
      </c>
      <c r="AI105" s="48">
        <f t="shared" si="19"/>
        <v>129.69999999999999</v>
      </c>
    </row>
    <row r="106" spans="1:37" x14ac:dyDescent="0.25">
      <c r="A106" s="104" t="s">
        <v>114</v>
      </c>
      <c r="B106" s="105">
        <v>131.4</v>
      </c>
      <c r="C106" s="105">
        <v>131.4</v>
      </c>
      <c r="D106" s="105">
        <v>134.1</v>
      </c>
      <c r="E106" s="105">
        <v>133.5</v>
      </c>
      <c r="F106" s="105">
        <v>130.5</v>
      </c>
      <c r="G106" s="105">
        <v>133.5</v>
      </c>
      <c r="H106" s="105">
        <v>134</v>
      </c>
      <c r="I106" s="105">
        <v>132.80000000000001</v>
      </c>
      <c r="J106" s="105">
        <v>132.80000000000001</v>
      </c>
      <c r="K106" s="105">
        <v>133.5</v>
      </c>
      <c r="L106" s="105">
        <v>131.69999999999999</v>
      </c>
      <c r="M106" s="105">
        <v>132.30000000000001</v>
      </c>
      <c r="N106" s="105">
        <v>132.19999999999999</v>
      </c>
      <c r="O106" s="105">
        <v>131.69999999999999</v>
      </c>
      <c r="P106" s="105">
        <v>132</v>
      </c>
      <c r="Q106" s="105">
        <v>129.9</v>
      </c>
      <c r="R106" s="105">
        <v>131.9</v>
      </c>
      <c r="S106" s="105">
        <v>131.4</v>
      </c>
      <c r="T106" s="105">
        <v>134.69999999999999</v>
      </c>
      <c r="U106" s="105">
        <v>135.69999999999999</v>
      </c>
      <c r="V106" s="105">
        <v>133.30000000000001</v>
      </c>
      <c r="W106" s="105">
        <v>135.4</v>
      </c>
      <c r="X106" s="105">
        <v>133.5</v>
      </c>
      <c r="Y106" s="105">
        <v>131</v>
      </c>
      <c r="Z106" s="105">
        <v>134</v>
      </c>
      <c r="AA106" s="105">
        <v>133.1</v>
      </c>
      <c r="AB106" s="105">
        <v>132.1</v>
      </c>
      <c r="AC106" s="105">
        <v>132.1</v>
      </c>
      <c r="AD106" s="105">
        <v>131</v>
      </c>
      <c r="AE106" s="105">
        <v>131</v>
      </c>
      <c r="AF106" s="105">
        <v>131</v>
      </c>
      <c r="AG106" s="106"/>
      <c r="AH106" s="47">
        <f t="shared" si="18"/>
        <v>135.69999999999999</v>
      </c>
      <c r="AI106" s="48">
        <f t="shared" si="19"/>
        <v>129.9</v>
      </c>
    </row>
    <row r="107" spans="1:37" x14ac:dyDescent="0.25">
      <c r="A107" s="102" t="s">
        <v>115</v>
      </c>
      <c r="B107" s="64">
        <v>130.30000000000001</v>
      </c>
      <c r="C107" s="64">
        <v>130.30000000000001</v>
      </c>
      <c r="D107" s="64">
        <v>134.9</v>
      </c>
      <c r="E107" s="64">
        <v>133</v>
      </c>
      <c r="F107" s="64">
        <v>126.8</v>
      </c>
      <c r="G107" s="64">
        <v>131.1</v>
      </c>
      <c r="H107" s="64">
        <v>132.30000000000001</v>
      </c>
      <c r="I107" s="64">
        <v>131.30000000000001</v>
      </c>
      <c r="J107" s="64">
        <v>131.80000000000001</v>
      </c>
      <c r="K107" s="64">
        <v>133.1</v>
      </c>
      <c r="L107" s="64">
        <v>130.19999999999999</v>
      </c>
      <c r="M107" s="64">
        <v>133.5</v>
      </c>
      <c r="N107" s="64">
        <v>130.69999999999999</v>
      </c>
      <c r="O107" s="64">
        <v>130</v>
      </c>
      <c r="P107" s="64">
        <v>128.69999999999999</v>
      </c>
      <c r="Q107" s="64">
        <v>129.69999999999999</v>
      </c>
      <c r="R107" s="64">
        <v>127.9</v>
      </c>
      <c r="S107" s="64">
        <v>130</v>
      </c>
      <c r="T107" s="64">
        <v>132.80000000000001</v>
      </c>
      <c r="U107" s="64">
        <v>132.80000000000001</v>
      </c>
      <c r="V107" s="64">
        <v>133.80000000000001</v>
      </c>
      <c r="W107" s="64">
        <v>139.69999999999999</v>
      </c>
      <c r="X107" s="64">
        <v>132.30000000000001</v>
      </c>
      <c r="Y107" s="64">
        <v>128.4</v>
      </c>
      <c r="Z107" s="64">
        <v>137</v>
      </c>
      <c r="AA107" s="64">
        <v>134.1</v>
      </c>
      <c r="AB107" s="64">
        <v>129.80000000000001</v>
      </c>
      <c r="AC107" s="64">
        <v>129.80000000000001</v>
      </c>
      <c r="AD107" s="64">
        <v>131</v>
      </c>
      <c r="AE107" s="64">
        <v>131</v>
      </c>
      <c r="AF107" s="64">
        <v>131</v>
      </c>
      <c r="AG107" s="103"/>
      <c r="AH107" s="47">
        <f t="shared" si="18"/>
        <v>139.69999999999999</v>
      </c>
      <c r="AI107" s="48">
        <f t="shared" si="19"/>
        <v>126.8</v>
      </c>
    </row>
    <row r="108" spans="1:37" ht="15.75" thickBot="1" x14ac:dyDescent="0.3">
      <c r="A108" s="102" t="s">
        <v>116</v>
      </c>
      <c r="B108" s="91">
        <v>65.3</v>
      </c>
      <c r="C108" s="91">
        <v>65.3</v>
      </c>
      <c r="D108" s="91">
        <v>65.7</v>
      </c>
      <c r="E108" s="91">
        <v>65.400000000000006</v>
      </c>
      <c r="F108" s="91">
        <v>64.3</v>
      </c>
      <c r="G108" s="91">
        <v>64.8</v>
      </c>
      <c r="H108" s="91">
        <v>64.3</v>
      </c>
      <c r="I108" s="91">
        <v>64.599999999999994</v>
      </c>
      <c r="J108" s="91">
        <v>64.599999999999994</v>
      </c>
      <c r="K108" s="91">
        <v>64.8</v>
      </c>
      <c r="L108" s="91">
        <v>65</v>
      </c>
      <c r="M108" s="91">
        <v>64.400000000000006</v>
      </c>
      <c r="N108" s="91">
        <v>63.8</v>
      </c>
      <c r="O108" s="91">
        <v>63.7</v>
      </c>
      <c r="P108" s="91">
        <v>64.2</v>
      </c>
      <c r="Q108" s="91">
        <v>62.9</v>
      </c>
      <c r="R108" s="91">
        <v>63.4</v>
      </c>
      <c r="S108" s="91">
        <v>64</v>
      </c>
      <c r="T108" s="91">
        <v>63.6</v>
      </c>
      <c r="U108" s="91">
        <v>63.5</v>
      </c>
      <c r="V108" s="91">
        <v>63.6</v>
      </c>
      <c r="W108" s="91">
        <v>63.7</v>
      </c>
      <c r="X108" s="91">
        <v>64.5</v>
      </c>
      <c r="Y108" s="91">
        <v>64.400000000000006</v>
      </c>
      <c r="Z108" s="91">
        <v>64.8</v>
      </c>
      <c r="AA108" s="91">
        <v>65</v>
      </c>
      <c r="AB108" s="91">
        <v>64.599999999999994</v>
      </c>
      <c r="AC108" s="91">
        <v>64.599999999999994</v>
      </c>
      <c r="AD108" s="91">
        <v>64.599999999999994</v>
      </c>
      <c r="AE108" s="91">
        <v>64.599999999999994</v>
      </c>
      <c r="AF108" s="91">
        <v>64.599999999999994</v>
      </c>
      <c r="AG108" s="107"/>
      <c r="AH108" s="47">
        <f t="shared" si="18"/>
        <v>65.7</v>
      </c>
      <c r="AI108" s="48">
        <f t="shared" si="19"/>
        <v>62.9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8"/>
        <v>0</v>
      </c>
      <c r="AI109" s="48">
        <f t="shared" si="19"/>
        <v>0</v>
      </c>
    </row>
    <row r="110" spans="1:37" ht="15.75" thickBot="1" x14ac:dyDescent="0.3">
      <c r="A110" s="109" t="s">
        <v>118</v>
      </c>
      <c r="B110" s="110">
        <f t="shared" ref="B110:O110" si="38">SUM(B20,B26,B29:B30,B58,B60:B61,B63,B65,B111:B115,B138,B144,B150,B159,B161,B173,B180,B183:B184,B191,B193,B195,B199:B201,B203:B205,B210,B216:B217,B219:B221,B229,B234)</f>
        <v>40.199999999999989</v>
      </c>
      <c r="C110" s="110">
        <f t="shared" si="38"/>
        <v>41.139999999999986</v>
      </c>
      <c r="D110" s="110">
        <f t="shared" si="38"/>
        <v>30.039999999999996</v>
      </c>
      <c r="E110" s="110">
        <f t="shared" si="38"/>
        <v>34.639999999999986</v>
      </c>
      <c r="F110" s="110">
        <f t="shared" si="38"/>
        <v>33.740000000000016</v>
      </c>
      <c r="G110" s="110">
        <f t="shared" si="38"/>
        <v>59.039999999999985</v>
      </c>
      <c r="H110" s="110">
        <f t="shared" si="38"/>
        <v>85.24</v>
      </c>
      <c r="I110" s="110">
        <f t="shared" si="38"/>
        <v>139.83999999999997</v>
      </c>
      <c r="J110" s="110">
        <f t="shared" si="38"/>
        <v>171.84000000000003</v>
      </c>
      <c r="K110" s="110">
        <f t="shared" si="38"/>
        <v>199.44000000000005</v>
      </c>
      <c r="L110" s="110">
        <f t="shared" si="38"/>
        <v>205.04000000000002</v>
      </c>
      <c r="M110" s="110">
        <f t="shared" si="38"/>
        <v>205.14</v>
      </c>
      <c r="N110" s="110">
        <f t="shared" si="38"/>
        <v>197.33999999999997</v>
      </c>
      <c r="O110" s="110">
        <f t="shared" si="38"/>
        <v>200.03999999999996</v>
      </c>
      <c r="P110" s="110">
        <v>42</v>
      </c>
      <c r="Q110" s="110">
        <f t="shared" ref="Q110:AC110" si="39">SUM(Q20,Q26,Q29:Q30,Q58,Q60:Q61,Q63,Q65,Q111:Q115,Q138,Q144,Q150,Q159,Q161,Q173,Q180,Q183:Q184,Q191,Q193,Q195,Q199:Q201,Q203:Q205,Q210,Q216:Q217,Q219:Q221,Q229,Q234)</f>
        <v>186.20000000000002</v>
      </c>
      <c r="R110" s="110">
        <f t="shared" si="39"/>
        <v>188.20000000000002</v>
      </c>
      <c r="S110" s="110">
        <f t="shared" si="39"/>
        <v>182.6</v>
      </c>
      <c r="T110" s="110">
        <f t="shared" si="39"/>
        <v>186.40000000000003</v>
      </c>
      <c r="U110" s="110">
        <f t="shared" si="39"/>
        <v>194.40000000000003</v>
      </c>
      <c r="V110" s="110">
        <f t="shared" si="39"/>
        <v>205.80000000000004</v>
      </c>
      <c r="W110" s="110">
        <f t="shared" si="39"/>
        <v>243.89999999999998</v>
      </c>
      <c r="X110" s="110">
        <f t="shared" si="39"/>
        <v>278.5</v>
      </c>
      <c r="Y110" s="110">
        <f t="shared" si="39"/>
        <v>275.30000000000007</v>
      </c>
      <c r="Z110" s="110">
        <f t="shared" si="39"/>
        <v>257</v>
      </c>
      <c r="AA110" s="110">
        <f t="shared" si="39"/>
        <v>235.5</v>
      </c>
      <c r="AB110" s="110">
        <f t="shared" ref="AB110" si="40">SUM(AB20,AB26,AB29:AB30,AB58,AB60:AB61,AB63,AB65,AB111:AB115,AB138,AB144,AB150,AB159,AB161,AB173,AB180,AB183:AB184,AB191,AB193,AB195,AB199:AB201,AB203:AB205,AB210,AB216:AB217,AB219:AB221,AB229,AB234)</f>
        <v>190.59999999999997</v>
      </c>
      <c r="AC110" s="110">
        <f t="shared" si="39"/>
        <v>164.7</v>
      </c>
      <c r="AD110" s="110"/>
      <c r="AE110" s="110"/>
      <c r="AF110" s="110"/>
      <c r="AG110" s="111"/>
      <c r="AH110" s="47">
        <f t="shared" si="18"/>
        <v>278.5</v>
      </c>
      <c r="AI110" s="48">
        <f t="shared" si="19"/>
        <v>30.039999999999996</v>
      </c>
    </row>
    <row r="111" spans="1:37" x14ac:dyDescent="0.25">
      <c r="A111" s="99" t="s">
        <v>119</v>
      </c>
      <c r="B111" s="112">
        <v>21.4</v>
      </c>
      <c r="C111" s="112">
        <v>21.4</v>
      </c>
      <c r="D111" s="112">
        <v>23.4</v>
      </c>
      <c r="E111" s="112">
        <v>22.5</v>
      </c>
      <c r="F111" s="112">
        <v>28.4</v>
      </c>
      <c r="G111" s="112">
        <v>29.9</v>
      </c>
      <c r="H111" s="112">
        <v>37.5</v>
      </c>
      <c r="I111" s="112">
        <v>44.3</v>
      </c>
      <c r="J111" s="112">
        <v>50.5</v>
      </c>
      <c r="K111" s="112">
        <v>55.2</v>
      </c>
      <c r="L111" s="112">
        <v>54.9</v>
      </c>
      <c r="M111" s="112">
        <v>57.2</v>
      </c>
      <c r="N111" s="112">
        <v>55</v>
      </c>
      <c r="O111" s="112">
        <v>54.3</v>
      </c>
      <c r="P111" s="112">
        <v>50.1</v>
      </c>
      <c r="Q111" s="112">
        <v>50.5</v>
      </c>
      <c r="R111" s="112">
        <v>52</v>
      </c>
      <c r="S111" s="112">
        <v>47.2</v>
      </c>
      <c r="T111" s="112">
        <v>56</v>
      </c>
      <c r="U111" s="112">
        <v>63.2</v>
      </c>
      <c r="V111" s="112">
        <v>63.7</v>
      </c>
      <c r="W111" s="112">
        <v>58</v>
      </c>
      <c r="X111" s="112">
        <v>53.9</v>
      </c>
      <c r="Y111" s="112">
        <v>52.2</v>
      </c>
      <c r="Z111" s="112">
        <v>56.4</v>
      </c>
      <c r="AA111" s="112">
        <v>59.6</v>
      </c>
      <c r="AB111" s="112">
        <v>62.9</v>
      </c>
      <c r="AC111" s="112">
        <v>62.8</v>
      </c>
      <c r="AD111" s="112">
        <v>60</v>
      </c>
      <c r="AE111" s="112">
        <v>42</v>
      </c>
      <c r="AF111" s="112">
        <v>31</v>
      </c>
      <c r="AG111" s="113">
        <v>75</v>
      </c>
      <c r="AH111" s="47">
        <f t="shared" si="18"/>
        <v>63.7</v>
      </c>
      <c r="AI111" s="48">
        <f t="shared" si="19"/>
        <v>21.4</v>
      </c>
    </row>
    <row r="112" spans="1:37" x14ac:dyDescent="0.25">
      <c r="A112" s="102" t="s">
        <v>120</v>
      </c>
      <c r="B112" s="114">
        <v>35.200000000000003</v>
      </c>
      <c r="C112" s="114">
        <v>35.200000000000003</v>
      </c>
      <c r="D112" s="114">
        <v>37.1</v>
      </c>
      <c r="E112" s="114">
        <v>35.6</v>
      </c>
      <c r="F112" s="114">
        <v>43.8</v>
      </c>
      <c r="G112" s="114">
        <v>45.2</v>
      </c>
      <c r="H112" s="114">
        <v>57.4</v>
      </c>
      <c r="I112" s="114">
        <v>68.8</v>
      </c>
      <c r="J112" s="114">
        <v>77</v>
      </c>
      <c r="K112" s="114">
        <v>78.900000000000006</v>
      </c>
      <c r="L112" s="114">
        <v>79.3</v>
      </c>
      <c r="M112" s="114">
        <v>82</v>
      </c>
      <c r="N112" s="114">
        <v>77.2</v>
      </c>
      <c r="O112" s="114">
        <v>75.599999999999994</v>
      </c>
      <c r="P112" s="114">
        <v>69.900000000000006</v>
      </c>
      <c r="Q112" s="114">
        <v>71</v>
      </c>
      <c r="R112" s="114">
        <v>73.3</v>
      </c>
      <c r="S112" s="114">
        <v>66.5</v>
      </c>
      <c r="T112" s="114">
        <v>77</v>
      </c>
      <c r="U112" s="114">
        <v>89.4</v>
      </c>
      <c r="V112" s="114">
        <v>89.4</v>
      </c>
      <c r="W112" s="114">
        <v>79.8</v>
      </c>
      <c r="X112" s="114">
        <v>73.5</v>
      </c>
      <c r="Y112" s="114">
        <v>71.099999999999994</v>
      </c>
      <c r="Z112" s="114">
        <v>78.3</v>
      </c>
      <c r="AA112" s="114">
        <v>83</v>
      </c>
      <c r="AB112" s="114">
        <v>87.6</v>
      </c>
      <c r="AC112" s="114">
        <v>88</v>
      </c>
      <c r="AD112" s="114">
        <v>83.9</v>
      </c>
      <c r="AE112" s="114">
        <v>60</v>
      </c>
      <c r="AF112" s="114">
        <v>49</v>
      </c>
      <c r="AG112" s="113">
        <v>240</v>
      </c>
      <c r="AH112" s="47">
        <f t="shared" si="18"/>
        <v>89.4</v>
      </c>
      <c r="AI112" s="48">
        <f t="shared" si="19"/>
        <v>35.200000000000003</v>
      </c>
    </row>
    <row r="113" spans="1:37" x14ac:dyDescent="0.25">
      <c r="A113" s="102" t="s">
        <v>121</v>
      </c>
      <c r="B113" s="114">
        <v>-160</v>
      </c>
      <c r="C113" s="114">
        <v>-160</v>
      </c>
      <c r="D113" s="114">
        <v>-172</v>
      </c>
      <c r="E113" s="114">
        <v>-161</v>
      </c>
      <c r="F113" s="114">
        <v>-174.6</v>
      </c>
      <c r="G113" s="114">
        <v>-153</v>
      </c>
      <c r="H113" s="114">
        <v>-154</v>
      </c>
      <c r="I113" s="114">
        <v>-133</v>
      </c>
      <c r="J113" s="114">
        <v>-126</v>
      </c>
      <c r="K113" s="114">
        <v>-123</v>
      </c>
      <c r="L113" s="114">
        <v>-135</v>
      </c>
      <c r="M113" s="114">
        <f>-61-69</f>
        <v>-130</v>
      </c>
      <c r="N113" s="114">
        <f>-56-62</f>
        <v>-118</v>
      </c>
      <c r="O113" s="114">
        <f>-59-65</f>
        <v>-124</v>
      </c>
      <c r="P113" s="114">
        <f>-55-59</f>
        <v>-114</v>
      </c>
      <c r="Q113" s="114">
        <f>-61-66</f>
        <v>-127</v>
      </c>
      <c r="R113" s="114">
        <f>-62-67</f>
        <v>-129</v>
      </c>
      <c r="S113" s="114">
        <v>-120</v>
      </c>
      <c r="T113" s="114">
        <v>-135</v>
      </c>
      <c r="U113" s="114">
        <v>-144</v>
      </c>
      <c r="V113" s="114">
        <v>-125</v>
      </c>
      <c r="W113" s="114">
        <v>-90</v>
      </c>
      <c r="X113" s="114">
        <v>-72</v>
      </c>
      <c r="Y113" s="114">
        <v>-72</v>
      </c>
      <c r="Z113" s="114">
        <v>-98</v>
      </c>
      <c r="AA113" s="114">
        <v>-114</v>
      </c>
      <c r="AB113" s="114">
        <v>-143</v>
      </c>
      <c r="AC113" s="114">
        <v>-160</v>
      </c>
      <c r="AD113" s="114">
        <v>-160</v>
      </c>
      <c r="AE113" s="114">
        <v>-170</v>
      </c>
      <c r="AF113" s="114">
        <v>-155</v>
      </c>
      <c r="AG113" s="113">
        <v>240</v>
      </c>
      <c r="AH113" s="47">
        <f t="shared" si="18"/>
        <v>-72</v>
      </c>
      <c r="AI113" s="48">
        <f t="shared" si="19"/>
        <v>-174.6</v>
      </c>
    </row>
    <row r="114" spans="1:37" x14ac:dyDescent="0.25">
      <c r="A114" s="102" t="s">
        <v>122</v>
      </c>
      <c r="B114" s="114">
        <v>-18</v>
      </c>
      <c r="C114" s="114">
        <v>-18</v>
      </c>
      <c r="D114" s="114">
        <v>-21</v>
      </c>
      <c r="E114" s="114">
        <v>-25</v>
      </c>
      <c r="F114" s="114">
        <v>-26.4</v>
      </c>
      <c r="G114" s="114">
        <v>-25.6</v>
      </c>
      <c r="H114" s="114">
        <v>-23.2</v>
      </c>
      <c r="I114" s="114">
        <v>-17.8</v>
      </c>
      <c r="J114" s="114">
        <v>-12.2</v>
      </c>
      <c r="K114" s="114">
        <v>4.8</v>
      </c>
      <c r="L114" s="114">
        <v>20.8</v>
      </c>
      <c r="M114" s="114">
        <v>8</v>
      </c>
      <c r="N114" s="114">
        <v>-4.8</v>
      </c>
      <c r="O114" s="114">
        <v>4.2</v>
      </c>
      <c r="P114" s="114">
        <v>0.4</v>
      </c>
      <c r="Q114" s="114">
        <v>2.1</v>
      </c>
      <c r="R114" s="114">
        <v>2.1</v>
      </c>
      <c r="S114" s="114">
        <v>4.5999999999999996</v>
      </c>
      <c r="T114" s="114">
        <v>2.2999999999999998</v>
      </c>
      <c r="U114" s="114">
        <v>3.8</v>
      </c>
      <c r="V114" s="114">
        <v>-5.4</v>
      </c>
      <c r="W114" s="114">
        <v>13.7</v>
      </c>
      <c r="X114" s="114">
        <v>40.700000000000003</v>
      </c>
      <c r="Y114" s="114">
        <v>41.1</v>
      </c>
      <c r="Z114" s="114">
        <v>37.4</v>
      </c>
      <c r="AA114" s="114">
        <v>24</v>
      </c>
      <c r="AB114" s="114">
        <v>0.2</v>
      </c>
      <c r="AC114" s="114">
        <v>-9</v>
      </c>
      <c r="AD114" s="114">
        <v>-8.4</v>
      </c>
      <c r="AE114" s="114">
        <v>-19</v>
      </c>
      <c r="AF114" s="114">
        <v>-20</v>
      </c>
      <c r="AG114" s="113">
        <v>60</v>
      </c>
      <c r="AH114" s="47">
        <f t="shared" si="18"/>
        <v>41.1</v>
      </c>
      <c r="AI114" s="48">
        <f t="shared" si="19"/>
        <v>-26.4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8"/>
        <v>0</v>
      </c>
      <c r="AI115" s="48">
        <f t="shared" si="19"/>
        <v>0</v>
      </c>
    </row>
    <row r="116" spans="1:37" x14ac:dyDescent="0.25">
      <c r="A116" s="115" t="s">
        <v>124</v>
      </c>
      <c r="B116" s="116">
        <v>24.1</v>
      </c>
      <c r="C116" s="116">
        <v>24.1</v>
      </c>
      <c r="D116" s="116">
        <v>-24</v>
      </c>
      <c r="E116" s="116">
        <v>12</v>
      </c>
      <c r="F116" s="116">
        <v>-4.5</v>
      </c>
      <c r="G116" s="116">
        <v>-4.2</v>
      </c>
      <c r="H116" s="116">
        <v>-4.4000000000000004</v>
      </c>
      <c r="I116" s="116">
        <v>-2</v>
      </c>
      <c r="J116" s="116">
        <v>-1.2</v>
      </c>
      <c r="K116" s="116">
        <v>-10.8</v>
      </c>
      <c r="L116" s="116">
        <v>-47</v>
      </c>
      <c r="M116" s="116">
        <v>-67</v>
      </c>
      <c r="N116" s="116">
        <v>39.700000000000003</v>
      </c>
      <c r="O116" s="116">
        <v>-62.6</v>
      </c>
      <c r="P116" s="116">
        <v>-43</v>
      </c>
      <c r="Q116" s="116">
        <v>-30</v>
      </c>
      <c r="R116" s="116">
        <v>-74.7</v>
      </c>
      <c r="S116" s="116">
        <v>-51</v>
      </c>
      <c r="T116" s="116">
        <v>-59</v>
      </c>
      <c r="U116" s="116">
        <v>-27</v>
      </c>
      <c r="V116" s="116">
        <v>-9</v>
      </c>
      <c r="W116" s="116">
        <v>-11</v>
      </c>
      <c r="X116" s="116">
        <v>23.2</v>
      </c>
      <c r="Y116" s="116">
        <v>-42.8</v>
      </c>
      <c r="Z116" s="116">
        <v>-56</v>
      </c>
      <c r="AA116" s="116">
        <v>-36</v>
      </c>
      <c r="AB116" s="116">
        <v>-43.8</v>
      </c>
      <c r="AC116" s="116">
        <v>-70</v>
      </c>
      <c r="AD116" s="116">
        <v>-60</v>
      </c>
      <c r="AE116" s="116">
        <v>-66</v>
      </c>
      <c r="AF116" s="116">
        <v>-7</v>
      </c>
      <c r="AG116" s="117"/>
      <c r="AH116" s="47">
        <f t="shared" si="18"/>
        <v>39.700000000000003</v>
      </c>
      <c r="AI116" s="48">
        <f t="shared" si="19"/>
        <v>-74.7</v>
      </c>
    </row>
    <row r="117" spans="1:37" x14ac:dyDescent="0.25">
      <c r="A117" s="115" t="s">
        <v>125</v>
      </c>
      <c r="B117" s="116">
        <v>15.6</v>
      </c>
      <c r="C117" s="116">
        <v>15.6</v>
      </c>
      <c r="D117" s="116">
        <v>2</v>
      </c>
      <c r="E117" s="116">
        <v>8.1</v>
      </c>
      <c r="F117" s="116">
        <v>-5.2</v>
      </c>
      <c r="G117" s="116">
        <v>-6.7</v>
      </c>
      <c r="H117" s="116">
        <v>-7.1</v>
      </c>
      <c r="I117" s="116">
        <v>-6.4</v>
      </c>
      <c r="J117" s="116">
        <v>-6.4</v>
      </c>
      <c r="K117" s="116">
        <v>-12.8</v>
      </c>
      <c r="L117" s="116">
        <v>-14.7</v>
      </c>
      <c r="M117" s="116">
        <v>-25.2</v>
      </c>
      <c r="N117" s="116">
        <v>-22.1</v>
      </c>
      <c r="O117" s="116">
        <v>-25.7</v>
      </c>
      <c r="P117" s="116">
        <v>-19.7</v>
      </c>
      <c r="Q117" s="116">
        <v>-20.5</v>
      </c>
      <c r="R117" s="116">
        <v>-28.6</v>
      </c>
      <c r="S117" s="116">
        <v>-22</v>
      </c>
      <c r="T117" s="116">
        <v>-83</v>
      </c>
      <c r="U117" s="116">
        <v>-56</v>
      </c>
      <c r="V117" s="116">
        <v>-44</v>
      </c>
      <c r="W117" s="116">
        <v>-67.099999999999994</v>
      </c>
      <c r="X117" s="116">
        <v>-36.1</v>
      </c>
      <c r="Y117" s="116">
        <v>-78.599999999999994</v>
      </c>
      <c r="Z117" s="116">
        <v>-74</v>
      </c>
      <c r="AA117" s="116">
        <v>-69</v>
      </c>
      <c r="AB117" s="116">
        <v>-86.6</v>
      </c>
      <c r="AC117" s="116">
        <v>-90</v>
      </c>
      <c r="AD117" s="116">
        <v>-100</v>
      </c>
      <c r="AE117" s="116">
        <v>-20</v>
      </c>
      <c r="AF117" s="116">
        <v>-10</v>
      </c>
      <c r="AG117" s="118"/>
      <c r="AH117" s="47">
        <f t="shared" si="18"/>
        <v>15.6</v>
      </c>
      <c r="AI117" s="48">
        <f t="shared" si="19"/>
        <v>-100</v>
      </c>
    </row>
    <row r="118" spans="1:37" x14ac:dyDescent="0.25">
      <c r="A118" s="119" t="s">
        <v>126</v>
      </c>
      <c r="B118" s="105">
        <v>67</v>
      </c>
      <c r="C118" s="105">
        <v>67</v>
      </c>
      <c r="D118" s="105">
        <v>74</v>
      </c>
      <c r="E118" s="105">
        <v>76.599999999999994</v>
      </c>
      <c r="F118" s="105">
        <v>76.5</v>
      </c>
      <c r="G118" s="105">
        <v>75.599999999999994</v>
      </c>
      <c r="H118" s="105">
        <v>75.8</v>
      </c>
      <c r="I118" s="105">
        <v>51.2</v>
      </c>
      <c r="J118" s="105">
        <v>67.7</v>
      </c>
      <c r="K118" s="105">
        <v>59.6</v>
      </c>
      <c r="L118" s="105">
        <v>61.1</v>
      </c>
      <c r="M118" s="105">
        <v>60.7</v>
      </c>
      <c r="N118" s="105">
        <v>90.6</v>
      </c>
      <c r="O118" s="105">
        <v>59.3</v>
      </c>
      <c r="P118" s="105">
        <v>58.7</v>
      </c>
      <c r="Q118" s="105">
        <v>63.6</v>
      </c>
      <c r="R118" s="105">
        <v>83.2</v>
      </c>
      <c r="S118" s="105">
        <v>74.2</v>
      </c>
      <c r="T118" s="105">
        <v>57</v>
      </c>
      <c r="U118" s="105">
        <v>58</v>
      </c>
      <c r="V118" s="105">
        <v>56</v>
      </c>
      <c r="W118" s="105">
        <v>38.9</v>
      </c>
      <c r="X118" s="105">
        <v>23.4</v>
      </c>
      <c r="Y118" s="105">
        <v>39.5</v>
      </c>
      <c r="Z118" s="105">
        <v>41.6</v>
      </c>
      <c r="AA118" s="105">
        <v>71</v>
      </c>
      <c r="AB118" s="105">
        <v>50</v>
      </c>
      <c r="AC118" s="105">
        <v>54</v>
      </c>
      <c r="AD118" s="105">
        <v>56</v>
      </c>
      <c r="AE118" s="105">
        <v>65</v>
      </c>
      <c r="AF118" s="105">
        <v>66</v>
      </c>
      <c r="AG118" s="118"/>
      <c r="AH118" s="47">
        <f t="shared" si="18"/>
        <v>90.6</v>
      </c>
      <c r="AI118" s="48">
        <f t="shared" si="19"/>
        <v>23.4</v>
      </c>
    </row>
    <row r="119" spans="1:37" x14ac:dyDescent="0.25">
      <c r="A119" s="120" t="s">
        <v>127</v>
      </c>
      <c r="B119" s="105">
        <v>79</v>
      </c>
      <c r="C119" s="105">
        <v>79</v>
      </c>
      <c r="D119" s="105">
        <v>94</v>
      </c>
      <c r="E119" s="105">
        <v>82</v>
      </c>
      <c r="F119" s="105">
        <v>92</v>
      </c>
      <c r="G119" s="105">
        <v>83.1</v>
      </c>
      <c r="H119" s="105">
        <v>86.8</v>
      </c>
      <c r="I119" s="105">
        <v>95</v>
      </c>
      <c r="J119" s="105">
        <v>86</v>
      </c>
      <c r="K119" s="105">
        <v>82</v>
      </c>
      <c r="L119" s="105">
        <v>95</v>
      </c>
      <c r="M119" s="105">
        <v>107.8</v>
      </c>
      <c r="N119" s="105">
        <v>89.9</v>
      </c>
      <c r="O119" s="105">
        <v>100</v>
      </c>
      <c r="P119" s="105">
        <v>85.4</v>
      </c>
      <c r="Q119" s="105">
        <v>91</v>
      </c>
      <c r="R119" s="105">
        <v>96</v>
      </c>
      <c r="S119" s="105">
        <v>87</v>
      </c>
      <c r="T119" s="105">
        <v>97</v>
      </c>
      <c r="U119" s="105">
        <v>86.3</v>
      </c>
      <c r="V119" s="105">
        <v>68.099999999999994</v>
      </c>
      <c r="W119" s="105">
        <v>71.5</v>
      </c>
      <c r="X119" s="105">
        <v>61</v>
      </c>
      <c r="Y119" s="105">
        <v>91</v>
      </c>
      <c r="Z119" s="105">
        <v>100</v>
      </c>
      <c r="AA119" s="105">
        <v>91</v>
      </c>
      <c r="AB119" s="105">
        <v>99</v>
      </c>
      <c r="AC119" s="105">
        <v>106</v>
      </c>
      <c r="AD119" s="105">
        <v>109</v>
      </c>
      <c r="AE119" s="105">
        <v>113</v>
      </c>
      <c r="AF119" s="105">
        <v>100</v>
      </c>
      <c r="AG119" s="118"/>
      <c r="AH119" s="47">
        <f t="shared" si="18"/>
        <v>113</v>
      </c>
      <c r="AI119" s="48">
        <f t="shared" si="19"/>
        <v>61</v>
      </c>
    </row>
    <row r="120" spans="1:37" ht="15.75" thickBot="1" x14ac:dyDescent="0.3">
      <c r="A120" s="119" t="s">
        <v>128</v>
      </c>
      <c r="B120" s="105">
        <v>-12</v>
      </c>
      <c r="C120" s="105">
        <v>-12</v>
      </c>
      <c r="D120" s="105">
        <v>-13</v>
      </c>
      <c r="E120" s="105">
        <v>-23.8</v>
      </c>
      <c r="F120" s="105">
        <v>-25</v>
      </c>
      <c r="G120" s="105">
        <v>-21.8</v>
      </c>
      <c r="H120" s="105">
        <v>-22.5</v>
      </c>
      <c r="I120" s="105">
        <v>-16.7</v>
      </c>
      <c r="J120" s="105">
        <v>-22.7</v>
      </c>
      <c r="K120" s="105">
        <v>-11.7</v>
      </c>
      <c r="L120" s="105">
        <v>-13.9</v>
      </c>
      <c r="M120" s="105">
        <v>-14.5</v>
      </c>
      <c r="N120" s="105">
        <v>-27.5</v>
      </c>
      <c r="O120" s="105">
        <v>-19.100000000000001</v>
      </c>
      <c r="P120" s="105">
        <v>-5.3</v>
      </c>
      <c r="Q120" s="105">
        <v>-22.3</v>
      </c>
      <c r="R120" s="105">
        <v>-43</v>
      </c>
      <c r="S120" s="105">
        <v>-45.1</v>
      </c>
      <c r="T120" s="105">
        <v>-31</v>
      </c>
      <c r="U120" s="105">
        <v>-21</v>
      </c>
      <c r="V120" s="105">
        <v>-14</v>
      </c>
      <c r="W120" s="105">
        <v>8</v>
      </c>
      <c r="X120" s="105">
        <v>3.2</v>
      </c>
      <c r="Y120" s="105">
        <v>11</v>
      </c>
      <c r="Z120" s="105">
        <v>5.6</v>
      </c>
      <c r="AA120" s="105">
        <v>-13</v>
      </c>
      <c r="AB120" s="105">
        <v>-3.7</v>
      </c>
      <c r="AC120" s="105">
        <v>0</v>
      </c>
      <c r="AD120" s="105">
        <v>0</v>
      </c>
      <c r="AE120" s="105">
        <v>0</v>
      </c>
      <c r="AF120" s="105">
        <v>-11</v>
      </c>
      <c r="AG120" s="118"/>
      <c r="AH120" s="47">
        <f t="shared" si="18"/>
        <v>11</v>
      </c>
      <c r="AI120" s="48">
        <f t="shared" si="19"/>
        <v>-45.1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41">SUM(B122:B226)</f>
        <v>0</v>
      </c>
      <c r="C227" s="136">
        <f t="shared" si="41"/>
        <v>0</v>
      </c>
      <c r="D227" s="136">
        <f t="shared" si="41"/>
        <v>0</v>
      </c>
      <c r="E227" s="136">
        <f t="shared" si="41"/>
        <v>0</v>
      </c>
      <c r="F227" s="136">
        <f t="shared" si="41"/>
        <v>0</v>
      </c>
      <c r="G227" s="136">
        <f t="shared" si="41"/>
        <v>0</v>
      </c>
      <c r="H227" s="136">
        <f t="shared" si="41"/>
        <v>0</v>
      </c>
      <c r="I227" s="136">
        <f t="shared" si="41"/>
        <v>0</v>
      </c>
      <c r="J227" s="136">
        <f t="shared" si="41"/>
        <v>0</v>
      </c>
      <c r="K227" s="136">
        <f t="shared" si="41"/>
        <v>0</v>
      </c>
      <c r="L227" s="136">
        <f t="shared" si="41"/>
        <v>0</v>
      </c>
      <c r="M227" s="136">
        <f t="shared" si="41"/>
        <v>0</v>
      </c>
      <c r="N227" s="136">
        <f t="shared" si="41"/>
        <v>0</v>
      </c>
      <c r="O227" s="136">
        <f t="shared" si="41"/>
        <v>0</v>
      </c>
      <c r="P227" s="136">
        <f t="shared" si="41"/>
        <v>0</v>
      </c>
      <c r="Q227" s="136">
        <f t="shared" si="41"/>
        <v>0</v>
      </c>
      <c r="R227" s="136">
        <f t="shared" si="41"/>
        <v>0</v>
      </c>
      <c r="S227" s="136">
        <f t="shared" si="41"/>
        <v>0</v>
      </c>
      <c r="T227" s="136">
        <f t="shared" si="41"/>
        <v>0</v>
      </c>
      <c r="U227" s="136">
        <f t="shared" si="41"/>
        <v>0</v>
      </c>
      <c r="V227" s="136">
        <f t="shared" si="41"/>
        <v>0</v>
      </c>
      <c r="W227" s="136">
        <f t="shared" si="41"/>
        <v>0</v>
      </c>
      <c r="X227" s="136">
        <f t="shared" si="41"/>
        <v>0</v>
      </c>
      <c r="Y227" s="136">
        <f t="shared" si="41"/>
        <v>0</v>
      </c>
      <c r="Z227" s="136">
        <f t="shared" si="41"/>
        <v>0</v>
      </c>
      <c r="AA227" s="136">
        <f t="shared" si="41"/>
        <v>0</v>
      </c>
      <c r="AB227" s="136">
        <f t="shared" si="41"/>
        <v>0</v>
      </c>
      <c r="AC227" s="136">
        <f t="shared" si="41"/>
        <v>0</v>
      </c>
      <c r="AD227" s="136">
        <f t="shared" si="41"/>
        <v>0</v>
      </c>
      <c r="AE227" s="136">
        <f t="shared" si="41"/>
        <v>0</v>
      </c>
      <c r="AF227" s="137">
        <f t="shared" si="41"/>
        <v>0</v>
      </c>
      <c r="AG227" s="138">
        <f t="shared" si="41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42">AF229</f>
        <v>0</v>
      </c>
      <c r="C229" s="140">
        <v>0.3</v>
      </c>
      <c r="D229" s="140">
        <f t="shared" ref="D229:P234" si="43">C229</f>
        <v>0.3</v>
      </c>
      <c r="E229" s="140">
        <f t="shared" si="43"/>
        <v>0.3</v>
      </c>
      <c r="F229" s="140">
        <f t="shared" si="43"/>
        <v>0.3</v>
      </c>
      <c r="G229" s="140">
        <f t="shared" si="43"/>
        <v>0.3</v>
      </c>
      <c r="H229" s="140">
        <f t="shared" si="43"/>
        <v>0.3</v>
      </c>
      <c r="I229" s="140">
        <f t="shared" si="43"/>
        <v>0.3</v>
      </c>
      <c r="J229" s="140">
        <f t="shared" si="43"/>
        <v>0.3</v>
      </c>
      <c r="K229" s="140">
        <f t="shared" si="43"/>
        <v>0.3</v>
      </c>
      <c r="L229" s="140">
        <f t="shared" si="43"/>
        <v>0.3</v>
      </c>
      <c r="M229" s="140">
        <f t="shared" si="43"/>
        <v>0.3</v>
      </c>
      <c r="N229" s="140">
        <f t="shared" si="43"/>
        <v>0.3</v>
      </c>
      <c r="O229" s="140">
        <f t="shared" si="43"/>
        <v>0.3</v>
      </c>
      <c r="P229" s="140">
        <f t="shared" si="43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42"/>
        <v>0</v>
      </c>
      <c r="C230" s="128">
        <v>0.4</v>
      </c>
      <c r="D230" s="128">
        <f t="shared" si="43"/>
        <v>0.4</v>
      </c>
      <c r="E230" s="128">
        <f t="shared" si="43"/>
        <v>0.4</v>
      </c>
      <c r="F230" s="128">
        <f t="shared" si="43"/>
        <v>0.4</v>
      </c>
      <c r="G230" s="128">
        <f t="shared" si="43"/>
        <v>0.4</v>
      </c>
      <c r="H230" s="128">
        <f t="shared" si="43"/>
        <v>0.4</v>
      </c>
      <c r="I230" s="128">
        <f t="shared" si="43"/>
        <v>0.4</v>
      </c>
      <c r="J230" s="128">
        <f t="shared" si="43"/>
        <v>0.4</v>
      </c>
      <c r="K230" s="128">
        <f t="shared" si="43"/>
        <v>0.4</v>
      </c>
      <c r="L230" s="128">
        <f t="shared" si="43"/>
        <v>0.4</v>
      </c>
      <c r="M230" s="128">
        <f t="shared" si="43"/>
        <v>0.4</v>
      </c>
      <c r="N230" s="128">
        <f t="shared" si="43"/>
        <v>0.4</v>
      </c>
      <c r="O230" s="128">
        <f t="shared" si="43"/>
        <v>0.4</v>
      </c>
      <c r="P230" s="128">
        <f t="shared" si="43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42"/>
        <v>0</v>
      </c>
      <c r="C231" s="128">
        <v>1.5</v>
      </c>
      <c r="D231" s="128">
        <f t="shared" si="43"/>
        <v>1.5</v>
      </c>
      <c r="E231" s="128">
        <f t="shared" si="43"/>
        <v>1.5</v>
      </c>
      <c r="F231" s="128">
        <f t="shared" si="43"/>
        <v>1.5</v>
      </c>
      <c r="G231" s="128">
        <f t="shared" si="43"/>
        <v>1.5</v>
      </c>
      <c r="H231" s="128">
        <f t="shared" si="43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43"/>
        <v>123.21900000000009</v>
      </c>
      <c r="K231" s="128">
        <f t="shared" ca="1" si="43"/>
        <v>123.21900000000009</v>
      </c>
      <c r="L231" s="128">
        <f t="shared" ca="1" si="43"/>
        <v>123.21900000000009</v>
      </c>
      <c r="M231" s="128">
        <f t="shared" ca="1" si="43"/>
        <v>119.19900000000008</v>
      </c>
      <c r="N231" s="128">
        <f t="shared" ca="1" si="43"/>
        <v>119.19900000000008</v>
      </c>
      <c r="O231" s="128">
        <f t="shared" ca="1" si="43"/>
        <v>119.19900000000008</v>
      </c>
      <c r="P231" s="128">
        <f t="shared" ca="1" si="43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42"/>
        <v>0</v>
      </c>
      <c r="C232" s="128">
        <v>0.3</v>
      </c>
      <c r="D232" s="128">
        <f t="shared" si="43"/>
        <v>0.3</v>
      </c>
      <c r="E232" s="128">
        <f t="shared" si="43"/>
        <v>0.3</v>
      </c>
      <c r="F232" s="128">
        <f t="shared" si="43"/>
        <v>0.3</v>
      </c>
      <c r="G232" s="128">
        <f t="shared" si="43"/>
        <v>0.3</v>
      </c>
      <c r="H232" s="128">
        <f t="shared" si="43"/>
        <v>0.3</v>
      </c>
      <c r="I232" s="128">
        <f t="shared" si="43"/>
        <v>0.3</v>
      </c>
      <c r="J232" s="128">
        <f t="shared" si="43"/>
        <v>0.3</v>
      </c>
      <c r="K232" s="128">
        <f t="shared" si="43"/>
        <v>0.3</v>
      </c>
      <c r="L232" s="128">
        <f t="shared" si="43"/>
        <v>0.3</v>
      </c>
      <c r="M232" s="128">
        <f t="shared" si="43"/>
        <v>0.3</v>
      </c>
      <c r="N232" s="128">
        <f t="shared" si="43"/>
        <v>0.3</v>
      </c>
      <c r="O232" s="128">
        <f t="shared" si="43"/>
        <v>0.3</v>
      </c>
      <c r="P232" s="128">
        <f t="shared" si="43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42"/>
        <v>0</v>
      </c>
      <c r="C233" s="128">
        <v>0.4</v>
      </c>
      <c r="D233" s="128">
        <f t="shared" si="43"/>
        <v>0.4</v>
      </c>
      <c r="E233" s="128">
        <f t="shared" si="43"/>
        <v>0.4</v>
      </c>
      <c r="F233" s="128">
        <f t="shared" si="43"/>
        <v>0.4</v>
      </c>
      <c r="G233" s="128">
        <f t="shared" si="43"/>
        <v>0.4</v>
      </c>
      <c r="H233" s="128">
        <f t="shared" si="43"/>
        <v>0.4</v>
      </c>
      <c r="I233" s="128">
        <f t="shared" si="43"/>
        <v>0.4</v>
      </c>
      <c r="J233" s="128">
        <f t="shared" si="43"/>
        <v>0.4</v>
      </c>
      <c r="K233" s="128">
        <f t="shared" si="43"/>
        <v>0.4</v>
      </c>
      <c r="L233" s="128">
        <f t="shared" si="43"/>
        <v>0.4</v>
      </c>
      <c r="M233" s="128">
        <f t="shared" si="43"/>
        <v>0.4</v>
      </c>
      <c r="N233" s="128">
        <f t="shared" si="43"/>
        <v>0.4</v>
      </c>
      <c r="O233" s="128">
        <f t="shared" si="43"/>
        <v>0.4</v>
      </c>
      <c r="P233" s="128">
        <f t="shared" si="43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42"/>
        <v>0</v>
      </c>
      <c r="C234" s="132">
        <v>0.64</v>
      </c>
      <c r="D234" s="132">
        <f t="shared" si="43"/>
        <v>0.64</v>
      </c>
      <c r="E234" s="132">
        <f t="shared" si="43"/>
        <v>0.64</v>
      </c>
      <c r="F234" s="132">
        <f t="shared" si="43"/>
        <v>0.64</v>
      </c>
      <c r="G234" s="132">
        <f t="shared" si="43"/>
        <v>0.64</v>
      </c>
      <c r="H234" s="132">
        <f t="shared" si="43"/>
        <v>0.64</v>
      </c>
      <c r="I234" s="132">
        <f t="shared" si="43"/>
        <v>0.64</v>
      </c>
      <c r="J234" s="132">
        <f t="shared" si="43"/>
        <v>0.64</v>
      </c>
      <c r="K234" s="132">
        <f t="shared" si="43"/>
        <v>0.64</v>
      </c>
      <c r="L234" s="132">
        <f t="shared" si="43"/>
        <v>0.64</v>
      </c>
      <c r="M234" s="132">
        <f t="shared" si="43"/>
        <v>0.64</v>
      </c>
      <c r="N234" s="132">
        <f t="shared" si="43"/>
        <v>0.64</v>
      </c>
      <c r="O234" s="132">
        <f t="shared" si="43"/>
        <v>0.64</v>
      </c>
      <c r="P234" s="132">
        <f t="shared" si="43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44">SUM(B229:B234)</f>
        <v>0</v>
      </c>
      <c r="C235" s="136">
        <f t="shared" si="44"/>
        <v>3.54</v>
      </c>
      <c r="D235" s="136">
        <f t="shared" si="44"/>
        <v>3.54</v>
      </c>
      <c r="E235" s="136">
        <f t="shared" si="44"/>
        <v>3.54</v>
      </c>
      <c r="F235" s="136">
        <f t="shared" si="44"/>
        <v>3.54</v>
      </c>
      <c r="G235" s="136">
        <f t="shared" si="44"/>
        <v>3.54</v>
      </c>
      <c r="H235" s="136">
        <f t="shared" si="44"/>
        <v>3.54</v>
      </c>
      <c r="I235" s="136">
        <f t="shared" ca="1" si="44"/>
        <v>121.23900000000009</v>
      </c>
      <c r="J235" s="136">
        <f t="shared" ca="1" si="44"/>
        <v>121.23900000000009</v>
      </c>
      <c r="K235" s="136">
        <f t="shared" ca="1" si="44"/>
        <v>121.23900000000009</v>
      </c>
      <c r="L235" s="136">
        <f t="shared" ca="1" si="44"/>
        <v>125.2590000000001</v>
      </c>
      <c r="M235" s="136">
        <f t="shared" ca="1" si="44"/>
        <v>121.23900000000009</v>
      </c>
      <c r="N235" s="136">
        <f t="shared" ca="1" si="44"/>
        <v>121.23900000000009</v>
      </c>
      <c r="O235" s="136">
        <f t="shared" ca="1" si="44"/>
        <v>121.23900000000009</v>
      </c>
      <c r="P235" s="136">
        <f t="shared" ca="1" si="44"/>
        <v>121.23900000000009</v>
      </c>
      <c r="Q235" s="136">
        <f t="shared" si="44"/>
        <v>0</v>
      </c>
      <c r="R235" s="136">
        <f t="shared" si="44"/>
        <v>0</v>
      </c>
      <c r="S235" s="136">
        <f t="shared" si="44"/>
        <v>0</v>
      </c>
      <c r="T235" s="136">
        <f t="shared" si="44"/>
        <v>0</v>
      </c>
      <c r="U235" s="136">
        <f t="shared" si="44"/>
        <v>0</v>
      </c>
      <c r="V235" s="136">
        <f t="shared" si="44"/>
        <v>0</v>
      </c>
      <c r="W235" s="136">
        <f t="shared" si="44"/>
        <v>0</v>
      </c>
      <c r="X235" s="136">
        <f t="shared" si="44"/>
        <v>0</v>
      </c>
      <c r="Y235" s="136">
        <f t="shared" si="44"/>
        <v>0</v>
      </c>
      <c r="Z235" s="136">
        <f t="shared" si="44"/>
        <v>0</v>
      </c>
      <c r="AA235" s="136">
        <f t="shared" si="44"/>
        <v>0</v>
      </c>
      <c r="AB235" s="136">
        <f t="shared" si="44"/>
        <v>0</v>
      </c>
      <c r="AC235" s="136">
        <f t="shared" si="44"/>
        <v>0</v>
      </c>
      <c r="AD235" s="136">
        <f t="shared" si="44"/>
        <v>0</v>
      </c>
      <c r="AE235" s="136">
        <f t="shared" si="44"/>
        <v>0</v>
      </c>
      <c r="AF235" s="136">
        <f t="shared" si="44"/>
        <v>0</v>
      </c>
      <c r="AG235" s="145">
        <f t="shared" si="44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2185.64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24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2080/06/24)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2080/06/24)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45">B91</f>
        <v>1951.4400000000003</v>
      </c>
      <c r="U249" s="170">
        <f t="shared" si="45"/>
        <v>1951.4400000000003</v>
      </c>
      <c r="V249" s="170">
        <f t="shared" si="45"/>
        <v>1966.4400000000003</v>
      </c>
      <c r="W249" s="170">
        <f t="shared" si="45"/>
        <v>1951.4400000000003</v>
      </c>
      <c r="X249" s="170">
        <f t="shared" si="45"/>
        <v>1961.4400000000003</v>
      </c>
      <c r="Y249" s="170">
        <f t="shared" si="45"/>
        <v>1959.6400000000003</v>
      </c>
      <c r="Z249" s="170">
        <f t="shared" si="45"/>
        <v>1995.2399999999998</v>
      </c>
      <c r="AA249" s="170">
        <f t="shared" si="45"/>
        <v>2035.34</v>
      </c>
      <c r="AB249" s="170">
        <f t="shared" si="45"/>
        <v>2056.3399999999997</v>
      </c>
      <c r="AC249" s="170">
        <f t="shared" si="45"/>
        <v>2102.04</v>
      </c>
      <c r="AD249" s="170">
        <f t="shared" si="45"/>
        <v>2185.64</v>
      </c>
      <c r="AE249" s="170">
        <f t="shared" si="45"/>
        <v>2162.54</v>
      </c>
      <c r="AF249" s="170">
        <f t="shared" si="45"/>
        <v>2024.7399999999998</v>
      </c>
      <c r="AG249" s="170">
        <f t="shared" si="45"/>
        <v>2019.1400000000003</v>
      </c>
      <c r="AH249" s="170">
        <f t="shared" si="45"/>
        <v>1969.54</v>
      </c>
      <c r="AI249" s="170">
        <f t="shared" si="45"/>
        <v>2076.44</v>
      </c>
      <c r="AJ249" s="170">
        <f t="shared" si="45"/>
        <v>2106.04</v>
      </c>
      <c r="AK249" s="170">
        <f t="shared" si="45"/>
        <v>1998.04</v>
      </c>
      <c r="AL249" s="170">
        <f t="shared" si="45"/>
        <v>2018.1399999999999</v>
      </c>
      <c r="AM249" s="170">
        <f t="shared" si="45"/>
        <v>2027.84</v>
      </c>
      <c r="AN249" s="170">
        <f t="shared" si="45"/>
        <v>2041.6399999999999</v>
      </c>
      <c r="AO249" s="170">
        <f t="shared" si="45"/>
        <v>2063.7399999999998</v>
      </c>
      <c r="AP249" s="170">
        <f t="shared" si="45"/>
        <v>2160.94</v>
      </c>
      <c r="AQ249" s="170">
        <f t="shared" si="45"/>
        <v>2228.54</v>
      </c>
      <c r="AR249" s="170">
        <f t="shared" si="45"/>
        <v>2217.54</v>
      </c>
      <c r="AS249" s="170">
        <f t="shared" si="45"/>
        <v>2212.54</v>
      </c>
      <c r="AT249" s="170">
        <f t="shared" si="45"/>
        <v>2127.34</v>
      </c>
      <c r="AU249" s="170">
        <f t="shared" si="45"/>
        <v>2089.64</v>
      </c>
      <c r="AV249" s="170">
        <f t="shared" si="45"/>
        <v>2089.64</v>
      </c>
      <c r="AW249" s="170">
        <f t="shared" si="45"/>
        <v>2061.1400000000003</v>
      </c>
      <c r="AX249" s="170">
        <f t="shared" si="45"/>
        <v>2024.14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46">C234</f>
        <v>0.64</v>
      </c>
      <c r="C270" s="173">
        <f t="shared" si="46"/>
        <v>0.64</v>
      </c>
      <c r="D270" s="173">
        <f t="shared" si="46"/>
        <v>0.64</v>
      </c>
      <c r="E270" s="173">
        <f t="shared" si="46"/>
        <v>0.64</v>
      </c>
      <c r="F270" s="173">
        <f t="shared" si="46"/>
        <v>0.64</v>
      </c>
      <c r="G270" s="173">
        <f t="shared" si="46"/>
        <v>0.64</v>
      </c>
      <c r="H270" s="173">
        <f t="shared" si="46"/>
        <v>0.64</v>
      </c>
      <c r="I270" s="173">
        <f t="shared" si="46"/>
        <v>0.64</v>
      </c>
      <c r="J270" s="173">
        <f t="shared" si="46"/>
        <v>0.64</v>
      </c>
      <c r="K270" s="173">
        <f t="shared" si="46"/>
        <v>0.64</v>
      </c>
      <c r="L270" s="173">
        <f t="shared" si="46"/>
        <v>0.64</v>
      </c>
      <c r="M270" s="173">
        <f t="shared" si="46"/>
        <v>0.64</v>
      </c>
      <c r="N270" s="173">
        <f t="shared" si="46"/>
        <v>0.64</v>
      </c>
      <c r="O270" s="173">
        <f t="shared" si="46"/>
        <v>0.64</v>
      </c>
      <c r="P270" s="173">
        <f t="shared" si="46"/>
        <v>0</v>
      </c>
      <c r="Q270" s="173">
        <f t="shared" si="46"/>
        <v>0</v>
      </c>
      <c r="R270" s="173">
        <f t="shared" si="46"/>
        <v>0</v>
      </c>
      <c r="S270" s="173">
        <f t="shared" si="46"/>
        <v>0</v>
      </c>
      <c r="T270" s="173">
        <f t="shared" si="46"/>
        <v>0</v>
      </c>
      <c r="U270" s="173">
        <f t="shared" si="46"/>
        <v>0</v>
      </c>
      <c r="V270" s="173">
        <f t="shared" si="46"/>
        <v>0</v>
      </c>
      <c r="W270" s="173">
        <f t="shared" si="46"/>
        <v>0</v>
      </c>
      <c r="X270" s="173">
        <f t="shared" si="46"/>
        <v>0</v>
      </c>
      <c r="Y270" s="173">
        <f t="shared" si="46"/>
        <v>0</v>
      </c>
      <c r="Z270" s="173">
        <f t="shared" si="46"/>
        <v>0</v>
      </c>
      <c r="AA270" s="173">
        <f t="shared" si="46"/>
        <v>0</v>
      </c>
      <c r="AB270" s="173">
        <f t="shared" si="46"/>
        <v>0</v>
      </c>
      <c r="AC270" s="173">
        <f t="shared" si="46"/>
        <v>0</v>
      </c>
      <c r="AD270" s="173">
        <f t="shared" si="46"/>
        <v>0</v>
      </c>
      <c r="AE270" s="173">
        <f t="shared" si="46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47">IF(B238&lt;100,"",B238-520)</f>
        <v/>
      </c>
      <c r="C271" s="174" t="str">
        <f t="shared" si="47"/>
        <v/>
      </c>
      <c r="D271" s="174" t="str">
        <f t="shared" si="47"/>
        <v/>
      </c>
      <c r="E271" s="174" t="str">
        <f t="shared" si="47"/>
        <v/>
      </c>
      <c r="F271" s="174" t="str">
        <f t="shared" si="47"/>
        <v/>
      </c>
      <c r="G271" s="174" t="str">
        <f t="shared" si="47"/>
        <v/>
      </c>
      <c r="H271" s="174" t="str">
        <f t="shared" si="47"/>
        <v/>
      </c>
      <c r="I271" s="174" t="str">
        <f t="shared" si="47"/>
        <v/>
      </c>
      <c r="J271" s="174" t="str">
        <f t="shared" si="47"/>
        <v/>
      </c>
      <c r="K271" s="174" t="str">
        <f t="shared" si="47"/>
        <v/>
      </c>
      <c r="L271" s="174" t="str">
        <f t="shared" si="47"/>
        <v/>
      </c>
      <c r="M271" s="174" t="str">
        <f t="shared" si="47"/>
        <v/>
      </c>
      <c r="N271" s="174" t="str">
        <f t="shared" si="47"/>
        <v/>
      </c>
      <c r="O271" s="174" t="str">
        <f t="shared" si="47"/>
        <v/>
      </c>
      <c r="P271" s="174" t="str">
        <f t="shared" si="47"/>
        <v/>
      </c>
      <c r="Q271" s="174" t="str">
        <f t="shared" si="47"/>
        <v/>
      </c>
      <c r="R271" s="174" t="str">
        <f t="shared" si="47"/>
        <v/>
      </c>
      <c r="S271" s="174" t="str">
        <f t="shared" si="47"/>
        <v/>
      </c>
      <c r="T271" s="174" t="str">
        <f t="shared" si="47"/>
        <v/>
      </c>
      <c r="U271" s="174" t="str">
        <f t="shared" si="47"/>
        <v/>
      </c>
      <c r="V271" s="174" t="str">
        <f t="shared" si="47"/>
        <v/>
      </c>
      <c r="W271" s="174" t="str">
        <f t="shared" si="47"/>
        <v/>
      </c>
      <c r="X271" s="174" t="str">
        <f t="shared" si="47"/>
        <v/>
      </c>
      <c r="Y271" s="174" t="str">
        <f t="shared" si="47"/>
        <v/>
      </c>
      <c r="Z271" s="174" t="str">
        <f t="shared" si="47"/>
        <v/>
      </c>
      <c r="AA271" s="174" t="str">
        <f t="shared" si="47"/>
        <v/>
      </c>
      <c r="AB271" s="174" t="str">
        <f t="shared" si="47"/>
        <v/>
      </c>
      <c r="AC271" s="174" t="str">
        <f t="shared" si="47"/>
        <v/>
      </c>
      <c r="AD271" s="174" t="str">
        <f t="shared" si="47"/>
        <v/>
      </c>
      <c r="AE271" s="174" t="str">
        <f t="shared" si="47"/>
        <v/>
      </c>
      <c r="AF271" s="174" t="str">
        <f t="shared" si="47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48">IF(B239&lt;100,"",B239-620)</f>
        <v/>
      </c>
      <c r="C272" s="174" t="str">
        <f t="shared" si="48"/>
        <v/>
      </c>
      <c r="D272" s="174" t="str">
        <f t="shared" si="48"/>
        <v/>
      </c>
      <c r="E272" s="174" t="str">
        <f t="shared" si="48"/>
        <v/>
      </c>
      <c r="F272" s="174" t="str">
        <f t="shared" si="48"/>
        <v/>
      </c>
      <c r="G272" s="174" t="str">
        <f t="shared" si="48"/>
        <v/>
      </c>
      <c r="H272" s="174" t="str">
        <f t="shared" si="48"/>
        <v/>
      </c>
      <c r="I272" s="174" t="str">
        <f t="shared" si="48"/>
        <v/>
      </c>
      <c r="J272" s="174" t="str">
        <f t="shared" si="48"/>
        <v/>
      </c>
      <c r="K272" s="174" t="str">
        <f t="shared" si="48"/>
        <v/>
      </c>
      <c r="L272" s="174" t="str">
        <f t="shared" si="48"/>
        <v/>
      </c>
      <c r="M272" s="174" t="str">
        <f t="shared" si="48"/>
        <v/>
      </c>
      <c r="N272" s="174" t="str">
        <f t="shared" si="48"/>
        <v/>
      </c>
      <c r="O272" s="174" t="str">
        <f t="shared" si="48"/>
        <v/>
      </c>
      <c r="P272" s="174" t="str">
        <f t="shared" si="48"/>
        <v/>
      </c>
      <c r="Q272" s="174" t="str">
        <f t="shared" si="48"/>
        <v/>
      </c>
      <c r="R272" s="174" t="str">
        <f t="shared" si="48"/>
        <v/>
      </c>
      <c r="S272" s="174" t="str">
        <f t="shared" si="48"/>
        <v/>
      </c>
      <c r="T272" s="174" t="str">
        <f t="shared" si="48"/>
        <v/>
      </c>
      <c r="U272" s="174" t="str">
        <f t="shared" si="48"/>
        <v/>
      </c>
      <c r="V272" s="174" t="str">
        <f t="shared" si="48"/>
        <v/>
      </c>
      <c r="W272" s="174" t="str">
        <f t="shared" si="48"/>
        <v/>
      </c>
      <c r="X272" s="174" t="str">
        <f t="shared" si="48"/>
        <v/>
      </c>
      <c r="Y272" s="174" t="str">
        <f t="shared" si="48"/>
        <v/>
      </c>
      <c r="Z272" s="174" t="str">
        <f t="shared" si="48"/>
        <v/>
      </c>
      <c r="AA272" s="174" t="str">
        <f t="shared" si="48"/>
        <v/>
      </c>
      <c r="AB272" s="174" t="str">
        <f t="shared" si="48"/>
        <v/>
      </c>
      <c r="AC272" s="174" t="str">
        <f t="shared" si="48"/>
        <v/>
      </c>
      <c r="AD272" s="174" t="str">
        <f t="shared" si="48"/>
        <v/>
      </c>
      <c r="AE272" s="174" t="str">
        <f t="shared" si="48"/>
        <v/>
      </c>
      <c r="AF272" s="174" t="str">
        <f t="shared" si="48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49">IF(B240&lt;100,"",B240-330)</f>
        <v/>
      </c>
      <c r="C273" s="174" t="str">
        <f t="shared" si="49"/>
        <v/>
      </c>
      <c r="D273" s="174" t="str">
        <f t="shared" si="49"/>
        <v/>
      </c>
      <c r="E273" s="174" t="str">
        <f t="shared" si="49"/>
        <v/>
      </c>
      <c r="F273" s="174" t="str">
        <f t="shared" si="49"/>
        <v/>
      </c>
      <c r="G273" s="174" t="str">
        <f t="shared" si="49"/>
        <v/>
      </c>
      <c r="H273" s="174" t="str">
        <f t="shared" si="49"/>
        <v/>
      </c>
      <c r="I273" s="174" t="str">
        <f t="shared" si="49"/>
        <v/>
      </c>
      <c r="J273" s="174" t="str">
        <f t="shared" si="49"/>
        <v/>
      </c>
      <c r="K273" s="174" t="str">
        <f t="shared" si="49"/>
        <v/>
      </c>
      <c r="L273" s="174" t="str">
        <f t="shared" si="49"/>
        <v/>
      </c>
      <c r="M273" s="174" t="str">
        <f t="shared" si="49"/>
        <v/>
      </c>
      <c r="N273" s="174" t="str">
        <f t="shared" si="49"/>
        <v/>
      </c>
      <c r="O273" s="174" t="str">
        <f t="shared" si="49"/>
        <v/>
      </c>
      <c r="P273" s="174" t="str">
        <f t="shared" si="49"/>
        <v/>
      </c>
      <c r="Q273" s="174" t="str">
        <f t="shared" si="49"/>
        <v/>
      </c>
      <c r="R273" s="174" t="str">
        <f t="shared" si="49"/>
        <v/>
      </c>
      <c r="S273" s="174" t="str">
        <f t="shared" si="49"/>
        <v/>
      </c>
      <c r="T273" s="174" t="str">
        <f t="shared" si="49"/>
        <v/>
      </c>
      <c r="U273" s="174" t="str">
        <f t="shared" si="49"/>
        <v/>
      </c>
      <c r="V273" s="174" t="str">
        <f t="shared" si="49"/>
        <v/>
      </c>
      <c r="W273" s="174" t="str">
        <f t="shared" si="49"/>
        <v/>
      </c>
      <c r="X273" s="174" t="str">
        <f t="shared" si="49"/>
        <v/>
      </c>
      <c r="Y273" s="174" t="str">
        <f t="shared" si="49"/>
        <v/>
      </c>
      <c r="Z273" s="174" t="str">
        <f t="shared" si="49"/>
        <v/>
      </c>
      <c r="AA273" s="174" t="str">
        <f t="shared" si="49"/>
        <v/>
      </c>
      <c r="AB273" s="174" t="str">
        <f t="shared" si="49"/>
        <v/>
      </c>
      <c r="AC273" s="174" t="str">
        <f t="shared" si="49"/>
        <v/>
      </c>
      <c r="AD273" s="174" t="str">
        <f t="shared" si="49"/>
        <v/>
      </c>
      <c r="AE273" s="174" t="str">
        <f t="shared" si="49"/>
        <v/>
      </c>
      <c r="AF273" s="174" t="str">
        <f t="shared" si="49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50">IF(B241&lt;100,"",B241-1500)</f>
        <v/>
      </c>
      <c r="C274" s="174" t="str">
        <f t="shared" si="50"/>
        <v/>
      </c>
      <c r="D274" s="174" t="str">
        <f t="shared" si="50"/>
        <v/>
      </c>
      <c r="E274" s="174" t="str">
        <f t="shared" si="50"/>
        <v/>
      </c>
      <c r="F274" s="174" t="str">
        <f t="shared" si="50"/>
        <v/>
      </c>
      <c r="G274" s="174" t="str">
        <f t="shared" si="50"/>
        <v/>
      </c>
      <c r="H274" s="174" t="str">
        <f t="shared" si="50"/>
        <v/>
      </c>
      <c r="I274" s="174" t="str">
        <f t="shared" si="50"/>
        <v/>
      </c>
      <c r="J274" s="174" t="str">
        <f t="shared" si="50"/>
        <v/>
      </c>
      <c r="K274" s="174" t="str">
        <f t="shared" si="50"/>
        <v/>
      </c>
      <c r="L274" s="174" t="str">
        <f t="shared" si="50"/>
        <v/>
      </c>
      <c r="M274" s="174" t="str">
        <f t="shared" si="50"/>
        <v/>
      </c>
      <c r="N274" s="174" t="str">
        <f t="shared" si="50"/>
        <v/>
      </c>
      <c r="O274" s="174" t="str">
        <f t="shared" si="50"/>
        <v/>
      </c>
      <c r="P274" s="174" t="str">
        <f t="shared" si="50"/>
        <v/>
      </c>
      <c r="Q274" s="174" t="str">
        <f t="shared" si="50"/>
        <v/>
      </c>
      <c r="R274" s="174" t="str">
        <f t="shared" si="50"/>
        <v/>
      </c>
      <c r="S274" s="174" t="str">
        <f t="shared" si="50"/>
        <v/>
      </c>
      <c r="T274" s="174" t="str">
        <f t="shared" si="50"/>
        <v/>
      </c>
      <c r="U274" s="174" t="str">
        <f t="shared" si="50"/>
        <v/>
      </c>
      <c r="V274" s="174" t="str">
        <f t="shared" si="50"/>
        <v/>
      </c>
      <c r="W274" s="174" t="str">
        <f t="shared" si="50"/>
        <v/>
      </c>
      <c r="X274" s="174" t="str">
        <f t="shared" si="50"/>
        <v/>
      </c>
      <c r="Y274" s="174" t="str">
        <f t="shared" si="50"/>
        <v/>
      </c>
      <c r="Z274" s="174" t="str">
        <f t="shared" si="50"/>
        <v/>
      </c>
      <c r="AA274" s="174" t="str">
        <f t="shared" si="50"/>
        <v/>
      </c>
      <c r="AB274" s="174" t="str">
        <f t="shared" si="50"/>
        <v/>
      </c>
      <c r="AC274" s="174" t="str">
        <f t="shared" si="50"/>
        <v/>
      </c>
      <c r="AD274" s="174" t="str">
        <f t="shared" si="50"/>
        <v/>
      </c>
      <c r="AE274" s="174" t="str">
        <f t="shared" si="50"/>
        <v/>
      </c>
      <c r="AF274" s="174" t="str">
        <f t="shared" si="50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1019" priority="64">
      <formula>$AH11=0</formula>
    </cfRule>
  </conditionalFormatting>
  <conditionalFormatting sqref="B8 M8 S8 AB8">
    <cfRule type="expression" dxfId="1018" priority="115">
      <formula>AND(C$9&gt;=14/24,C$9&lt;20/24)</formula>
    </cfRule>
    <cfRule type="expression" dxfId="1017" priority="116">
      <formula>AND(C$9&gt;=8/24,C$9&lt;14/24)</formula>
    </cfRule>
    <cfRule type="expression" dxfId="1016" priority="117">
      <formula>C$9&lt;8/24</formula>
    </cfRule>
  </conditionalFormatting>
  <conditionalFormatting sqref="B54:C54">
    <cfRule type="expression" dxfId="1015" priority="38">
      <formula>B$9&gt;=20/24</formula>
    </cfRule>
    <cfRule type="expression" dxfId="1014" priority="39">
      <formula>AND(B$9&gt;=14/24,B$9&lt;20/24)</formula>
    </cfRule>
    <cfRule type="expression" dxfId="1013" priority="40">
      <formula>AND(B$9&gt;=8/24,B$9&lt;14/24)</formula>
    </cfRule>
    <cfRule type="expression" dxfId="1012" priority="41">
      <formula>B$9&lt;8/24</formula>
    </cfRule>
  </conditionalFormatting>
  <conditionalFormatting sqref="B54:C66 D55:L66 M61:N66 O64:X66">
    <cfRule type="expression" dxfId="1011" priority="33">
      <formula>B54&gt;$AG54</formula>
    </cfRule>
  </conditionalFormatting>
  <conditionalFormatting sqref="B55:L59">
    <cfRule type="expression" dxfId="1010" priority="60">
      <formula>B$9&gt;=20/24</formula>
    </cfRule>
    <cfRule type="expression" dxfId="1009" priority="61">
      <formula>AND(B$9&gt;=14/24,B$9&lt;20/24)</formula>
    </cfRule>
    <cfRule type="expression" dxfId="1008" priority="62">
      <formula>AND(B$9&gt;=8/24,B$9&lt;14/24)</formula>
    </cfRule>
    <cfRule type="expression" dxfId="1007" priority="63">
      <formula>B$9&lt;8/24</formula>
    </cfRule>
  </conditionalFormatting>
  <conditionalFormatting sqref="B60:X60">
    <cfRule type="expression" dxfId="1006" priority="51">
      <formula>B$9&gt;=20/24</formula>
    </cfRule>
    <cfRule type="expression" dxfId="1005" priority="52">
      <formula>AND(B$9&gt;=14/24,B$9&lt;20/24)</formula>
    </cfRule>
    <cfRule type="expression" dxfId="1004" priority="53">
      <formula>AND(B$9&gt;=8/24,B$9&lt;14/24)</formula>
    </cfRule>
    <cfRule type="expression" dxfId="1003" priority="54">
      <formula>B$9&lt;8/24</formula>
    </cfRule>
  </conditionalFormatting>
  <conditionalFormatting sqref="B61:AF66">
    <cfRule type="expression" dxfId="1002" priority="34">
      <formula>B$9&gt;=20/24</formula>
    </cfRule>
    <cfRule type="expression" dxfId="1001" priority="35">
      <formula>AND(B$9&gt;=14/24,B$9&lt;20/24)</formula>
    </cfRule>
    <cfRule type="expression" dxfId="1000" priority="36">
      <formula>AND(B$9&gt;=8/24,B$9&lt;14/24)</formula>
    </cfRule>
    <cfRule type="expression" dxfId="999" priority="37">
      <formula>B$9&lt;8/24</formula>
    </cfRule>
  </conditionalFormatting>
  <conditionalFormatting sqref="B9:AF45">
    <cfRule type="expression" dxfId="998" priority="23">
      <formula>B$9&gt;=20/24</formula>
    </cfRule>
    <cfRule type="expression" dxfId="997" priority="24">
      <formula>AND(B$9&gt;=14/24,B$9&lt;20/24)</formula>
    </cfRule>
    <cfRule type="expression" dxfId="996" priority="25">
      <formula>AND(B$9&gt;=8/24,B$9&lt;14/24)</formula>
    </cfRule>
    <cfRule type="expression" dxfId="995" priority="26">
      <formula>B$9&lt;8/24</formula>
    </cfRule>
  </conditionalFormatting>
  <conditionalFormatting sqref="B11:AF46">
    <cfRule type="expression" dxfId="994" priority="22">
      <formula>B11&gt;$AG11</formula>
    </cfRule>
  </conditionalFormatting>
  <conditionalFormatting sqref="B46:AF46">
    <cfRule type="expression" dxfId="993" priority="18">
      <formula>B$9&gt;=20/24</formula>
    </cfRule>
    <cfRule type="expression" dxfId="992" priority="19">
      <formula>AND(B$9&gt;=14/24,B$9&lt;20/24)</formula>
    </cfRule>
    <cfRule type="expression" dxfId="991" priority="20">
      <formula>AND(B$9&gt;=8/24,B$9&lt;14/24)</formula>
    </cfRule>
    <cfRule type="expression" dxfId="990" priority="21">
      <formula>B$9&lt;8/24</formula>
    </cfRule>
  </conditionalFormatting>
  <conditionalFormatting sqref="B47:AF47">
    <cfRule type="expression" dxfId="989" priority="32">
      <formula>B47&gt;$AG47</formula>
    </cfRule>
  </conditionalFormatting>
  <conditionalFormatting sqref="B47:AF49">
    <cfRule type="expression" dxfId="988" priority="28">
      <formula>B$9&gt;=20/24</formula>
    </cfRule>
    <cfRule type="expression" dxfId="987" priority="29">
      <formula>AND(B$9&gt;=14/24,B$9&lt;20/24)</formula>
    </cfRule>
    <cfRule type="expression" dxfId="986" priority="30">
      <formula>AND(B$9&gt;=8/24,B$9&lt;14/24)</formula>
    </cfRule>
    <cfRule type="expression" dxfId="985" priority="31">
      <formula>B$9&lt;8/24</formula>
    </cfRule>
  </conditionalFormatting>
  <conditionalFormatting sqref="B48:AF53">
    <cfRule type="expression" dxfId="984" priority="27">
      <formula>B48&gt;$AG48</formula>
    </cfRule>
  </conditionalFormatting>
  <conditionalFormatting sqref="B51:AF53">
    <cfRule type="expression" dxfId="983" priority="47">
      <formula>B$9&gt;=20/24</formula>
    </cfRule>
    <cfRule type="expression" dxfId="982" priority="48">
      <formula>AND(B$9&gt;=14/24,B$9&lt;20/24)</formula>
    </cfRule>
    <cfRule type="expression" dxfId="981" priority="49">
      <formula>AND(B$9&gt;=8/24,B$9&lt;14/24)</formula>
    </cfRule>
    <cfRule type="expression" dxfId="980" priority="50">
      <formula>B$9&lt;8/24</formula>
    </cfRule>
  </conditionalFormatting>
  <conditionalFormatting sqref="B69:AF71">
    <cfRule type="expression" dxfId="979" priority="55">
      <formula>B69&gt;$AG69</formula>
    </cfRule>
    <cfRule type="expression" dxfId="978" priority="56">
      <formula>B$9&gt;=20/24</formula>
    </cfRule>
    <cfRule type="expression" dxfId="977" priority="57">
      <formula>AND(B$9&gt;=14/24,B$9&lt;20/24)</formula>
    </cfRule>
    <cfRule type="expression" dxfId="976" priority="58">
      <formula>AND(B$9&gt;=8/24,B$9&lt;14/24)</formula>
    </cfRule>
    <cfRule type="expression" dxfId="975" priority="59">
      <formula>B$9&lt;8/24</formula>
    </cfRule>
  </conditionalFormatting>
  <conditionalFormatting sqref="B73:AF91">
    <cfRule type="expression" dxfId="974" priority="1">
      <formula>B$9&gt;=20/24</formula>
    </cfRule>
    <cfRule type="expression" dxfId="973" priority="2">
      <formula>AND(B$9&gt;=14/24,B$9&lt;20/24)</formula>
    </cfRule>
    <cfRule type="expression" dxfId="972" priority="3">
      <formula>AND(B$9&gt;=8/24,B$9&lt;14/24)</formula>
    </cfRule>
    <cfRule type="expression" dxfId="971" priority="4">
      <formula>B$9&lt;8/24</formula>
    </cfRule>
  </conditionalFormatting>
  <conditionalFormatting sqref="B111:AF120">
    <cfRule type="expression" dxfId="970" priority="14">
      <formula>B$9&gt;=20/24</formula>
    </cfRule>
    <cfRule type="expression" dxfId="969" priority="15">
      <formula>AND(B$9&gt;=14/24,B$9&lt;20/24)</formula>
    </cfRule>
    <cfRule type="expression" dxfId="968" priority="16">
      <formula>AND(B$9&gt;=8/24,B$9&lt;14/24)</formula>
    </cfRule>
    <cfRule type="expression" dxfId="967" priority="17">
      <formula>B$9&lt;8/24</formula>
    </cfRule>
  </conditionalFormatting>
  <conditionalFormatting sqref="B227:AF227 D229:AF230 B229:B235 D231:H231 J231:AF231 D232:AF235 U248:AF248">
    <cfRule type="expression" dxfId="966" priority="108">
      <formula>B$9&gt;=20/24</formula>
    </cfRule>
    <cfRule type="expression" dxfId="965" priority="109">
      <formula>AND(B$9&gt;=14/24,B$9&lt;20/24)</formula>
    </cfRule>
    <cfRule type="expression" dxfId="964" priority="110">
      <formula>AND(B$9&gt;=8/24,B$9&lt;14/24)</formula>
    </cfRule>
    <cfRule type="expression" dxfId="963" priority="111">
      <formula>B$9&lt;8/24</formula>
    </cfRule>
  </conditionalFormatting>
  <conditionalFormatting sqref="B67:AG68 B72:AG72">
    <cfRule type="expression" dxfId="962" priority="42">
      <formula>B67&gt;$AG67</formula>
    </cfRule>
  </conditionalFormatting>
  <conditionalFormatting sqref="B72:AG72 B93:AF109">
    <cfRule type="expression" dxfId="961" priority="43">
      <formula>B$9&gt;=20/24</formula>
    </cfRule>
    <cfRule type="expression" dxfId="960" priority="44">
      <formula>AND(B$9&gt;=14/24,B$9&lt;20/24)</formula>
    </cfRule>
    <cfRule type="expression" dxfId="959" priority="45">
      <formula>AND(B$9&gt;=8/24,B$9&lt;14/24)</formula>
    </cfRule>
    <cfRule type="expression" dxfId="958" priority="46">
      <formula>B$9&lt;8/24</formula>
    </cfRule>
  </conditionalFormatting>
  <conditionalFormatting sqref="M55:AF66">
    <cfRule type="expression" dxfId="957" priority="5">
      <formula>M55&gt;$AG55</formula>
    </cfRule>
  </conditionalFormatting>
  <conditionalFormatting sqref="D54:AG54">
    <cfRule type="expression" dxfId="956" priority="76">
      <formula>D54&gt;$AG54</formula>
    </cfRule>
    <cfRule type="expression" dxfId="955" priority="77">
      <formula>D$9&gt;=20/24</formula>
    </cfRule>
    <cfRule type="expression" dxfId="954" priority="78">
      <formula>AND(D$9&gt;=14/24,D$9&lt;20/24)</formula>
    </cfRule>
    <cfRule type="expression" dxfId="953" priority="79">
      <formula>AND(D$9&gt;=8/24,D$9&lt;14/24)</formula>
    </cfRule>
    <cfRule type="expression" dxfId="952" priority="80">
      <formula>D$9&lt;8/24</formula>
    </cfRule>
  </conditionalFormatting>
  <conditionalFormatting sqref="M55:X59">
    <cfRule type="expression" dxfId="951" priority="93">
      <formula>M$9&gt;=20/24</formula>
    </cfRule>
    <cfRule type="expression" dxfId="950" priority="94">
      <formula>AND(M$9&gt;=14/24,M$9&lt;20/24)</formula>
    </cfRule>
    <cfRule type="expression" dxfId="949" priority="95">
      <formula>AND(M$9&gt;=8/24,M$9&lt;14/24)</formula>
    </cfRule>
    <cfRule type="expression" dxfId="948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947" priority="114">
      <formula>C$9&gt;=20/24</formula>
    </cfRule>
  </conditionalFormatting>
  <conditionalFormatting sqref="S8">
    <cfRule type="expression" dxfId="946" priority="101">
      <formula>U$9&gt;=20/24</formula>
    </cfRule>
    <cfRule type="expression" dxfId="945" priority="102">
      <formula>AND(U$9&gt;=14/24,U$9&lt;20/24)</formula>
    </cfRule>
    <cfRule type="expression" dxfId="944" priority="103">
      <formula>AND(U$9&gt;=8/24,U$9&lt;14/24)</formula>
    </cfRule>
    <cfRule type="expression" dxfId="943" priority="104">
      <formula>U$9&lt;8/24</formula>
    </cfRule>
  </conditionalFormatting>
  <conditionalFormatting sqref="S55:AF60">
    <cfRule type="expression" dxfId="942" priority="10">
      <formula>S$9&gt;=20/24</formula>
    </cfRule>
    <cfRule type="expression" dxfId="941" priority="11">
      <formula>AND(S$9&gt;=14/24,S$9&lt;20/24)</formula>
    </cfRule>
    <cfRule type="expression" dxfId="940" priority="12">
      <formula>AND(S$9&gt;=8/24,S$9&lt;14/24)</formula>
    </cfRule>
    <cfRule type="expression" dxfId="939" priority="13">
      <formula>S$9&lt;8/24</formula>
    </cfRule>
  </conditionalFormatting>
  <conditionalFormatting sqref="T248">
    <cfRule type="expression" dxfId="938" priority="126">
      <formula>AX$9&gt;=20/24</formula>
    </cfRule>
    <cfRule type="expression" dxfId="937" priority="127">
      <formula>AND(AX$9&gt;=14/24,AX$9&lt;20/24)</formula>
    </cfRule>
    <cfRule type="expression" dxfId="936" priority="128">
      <formula>AND(AX$9&gt;=8/24,AX$9&lt;14/24)</formula>
    </cfRule>
    <cfRule type="expression" dxfId="935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934" priority="97">
      <formula>AD$9&gt;=20/24</formula>
    </cfRule>
    <cfRule type="expression" dxfId="933" priority="98">
      <formula>AND(AD$9&gt;=14/24,AD$9&lt;20/24)</formula>
    </cfRule>
    <cfRule type="expression" dxfId="932" priority="99">
      <formula>AND(AD$9&gt;=8/24,AD$9&lt;14/24)</formula>
    </cfRule>
    <cfRule type="expression" dxfId="931" priority="100">
      <formula>AD$9&lt;8/24</formula>
    </cfRule>
  </conditionalFormatting>
  <conditionalFormatting sqref="AG50">
    <cfRule type="expression" dxfId="930" priority="84">
      <formula>AG50&gt;$AG50</formula>
    </cfRule>
  </conditionalFormatting>
  <conditionalFormatting sqref="AG89">
    <cfRule type="expression" dxfId="929" priority="85">
      <formula>AG$9&gt;=20/24</formula>
    </cfRule>
    <cfRule type="expression" dxfId="928" priority="86">
      <formula>AND(AG$9&gt;=14/24,AG$9&lt;20/24)</formula>
    </cfRule>
    <cfRule type="expression" dxfId="927" priority="87">
      <formula>AND(AG$9&gt;=8/24,AG$9&lt;14/24)</formula>
    </cfRule>
    <cfRule type="expression" dxfId="926" priority="88">
      <formula>AG$9&lt;8/24</formula>
    </cfRule>
  </conditionalFormatting>
  <conditionalFormatting sqref="AG248">
    <cfRule type="expression" dxfId="925" priority="118">
      <formula>B$9&gt;=20/24</formula>
    </cfRule>
    <cfRule type="expression" dxfId="924" priority="119">
      <formula>AND(B$9&gt;=14/24,B$9&lt;20/24)</formula>
    </cfRule>
    <cfRule type="expression" dxfId="923" priority="120">
      <formula>AND(B$9&gt;=8/24,B$9&lt;14/24)</formula>
    </cfRule>
    <cfRule type="expression" dxfId="922" priority="121">
      <formula>B$9&lt;8/24</formula>
    </cfRule>
  </conditionalFormatting>
  <conditionalFormatting sqref="AH248:AX248">
    <cfRule type="expression" dxfId="921" priority="122">
      <formula>AG$9&gt;=20/24</formula>
    </cfRule>
    <cfRule type="expression" dxfId="920" priority="123">
      <formula>AND(AG$9&gt;=14/24,AG$9&lt;20/24)</formula>
    </cfRule>
    <cfRule type="expression" dxfId="919" priority="124">
      <formula>AND(AG$9&gt;=8/24,AG$9&lt;14/24)</formula>
    </cfRule>
    <cfRule type="expression" dxfId="918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917" priority="131">
      <formula>AJ$9&gt;=20/24</formula>
    </cfRule>
    <cfRule type="expression" dxfId="916" priority="132">
      <formula>AND(AJ$9&gt;=14/24,AJ$9&lt;20/24)</formula>
    </cfRule>
    <cfRule type="expression" dxfId="915" priority="133">
      <formula>AND(AJ$9&gt;=8/24,AJ$9&lt;14/24)</formula>
    </cfRule>
    <cfRule type="expression" dxfId="914" priority="134">
      <formula>AJ$9&lt;8/24</formula>
    </cfRule>
  </conditionalFormatting>
  <conditionalFormatting sqref="AL80:AN80 AL86:AN86">
    <cfRule type="expression" dxfId="913" priority="72">
      <formula>AL$9&gt;=20/24</formula>
    </cfRule>
    <cfRule type="expression" dxfId="912" priority="73">
      <formula>AND(AL$9&gt;=14/24,AL$9&lt;20/24)</formula>
    </cfRule>
    <cfRule type="expression" dxfId="911" priority="74">
      <formula>AND(AL$9&gt;=8/24,AL$9&lt;14/24)</formula>
    </cfRule>
    <cfRule type="expression" dxfId="910" priority="75">
      <formula>AL$9&lt;8/24</formula>
    </cfRule>
  </conditionalFormatting>
  <conditionalFormatting sqref="AN81:AN84">
    <cfRule type="expression" dxfId="909" priority="68">
      <formula>AN$9&gt;=20/24</formula>
    </cfRule>
    <cfRule type="expression" dxfId="908" priority="69">
      <formula>AND(AN$9&gt;=14/24,AN$9&lt;20/24)</formula>
    </cfRule>
    <cfRule type="expression" dxfId="907" priority="70">
      <formula>AND(AN$9&gt;=8/24,AN$9&lt;14/24)</formula>
    </cfRule>
    <cfRule type="expression" dxfId="906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54067-189B-4D08-BCC3-CC2139F533DA}">
  <sheetPr codeName="Sheet49"/>
  <dimension ref="A1:CJ281"/>
  <sheetViews>
    <sheetView workbookViewId="0">
      <pane xSplit="1" ySplit="10" topLeftCell="B69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10.28515625" style="1" customWidth="1"/>
    <col min="12" max="12" width="6.42578125" style="1" bestFit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6" width="23.85546875" style="1" bestFit="1" customWidth="1"/>
    <col min="37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2080/06/25</v>
      </c>
      <c r="C4" s="201"/>
      <c r="D4" s="201"/>
      <c r="E4" s="202" t="str">
        <f ca="1">"2080/"&amp;"06/"&amp;INT(MID(CELL("filename",G6),FIND("]",CELL("filename",G6))+1,200))</f>
        <v>2080/06/25</v>
      </c>
      <c r="F4" s="202"/>
      <c r="G4" s="202"/>
      <c r="H4" s="202" t="str">
        <f ca="1">TEXT(E4,"dddd")</f>
        <v>Tuesday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1.8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2205MW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Load=0</v>
      </c>
      <c r="B7" s="35">
        <f t="shared" ref="B7:AF7" si="1">B91</f>
        <v>1987.74</v>
      </c>
      <c r="C7" s="35">
        <f t="shared" si="1"/>
        <v>2061.2399999999998</v>
      </c>
      <c r="D7" s="35">
        <f t="shared" si="1"/>
        <v>2053.64</v>
      </c>
      <c r="E7" s="35">
        <f t="shared" si="1"/>
        <v>2037.4399999999998</v>
      </c>
      <c r="F7" s="35">
        <f t="shared" si="1"/>
        <v>2037.34</v>
      </c>
      <c r="G7" s="35">
        <f t="shared" si="1"/>
        <v>2047.64</v>
      </c>
      <c r="H7" s="35">
        <f t="shared" si="1"/>
        <v>0</v>
      </c>
      <c r="I7" s="35">
        <f t="shared" si="1"/>
        <v>1</v>
      </c>
      <c r="J7" s="35">
        <f t="shared" si="1"/>
        <v>2032.24</v>
      </c>
      <c r="K7" s="35">
        <f t="shared" si="1"/>
        <v>2122.2399999999998</v>
      </c>
      <c r="L7" s="35">
        <f t="shared" si="1"/>
        <v>2045.24</v>
      </c>
      <c r="M7" s="35">
        <f t="shared" si="1"/>
        <v>2145.94</v>
      </c>
      <c r="N7" s="35">
        <f>N91</f>
        <v>2204.64</v>
      </c>
      <c r="O7" s="35">
        <f t="shared" si="1"/>
        <v>2207.14</v>
      </c>
      <c r="P7" s="35">
        <f t="shared" si="1"/>
        <v>2203.4399999999996</v>
      </c>
      <c r="Q7" s="35">
        <f t="shared" si="1"/>
        <v>2188.2399999999998</v>
      </c>
      <c r="R7" s="35">
        <f t="shared" si="1"/>
        <v>2162.54</v>
      </c>
      <c r="S7" s="35">
        <f t="shared" si="1"/>
        <v>2155.54</v>
      </c>
      <c r="T7" s="35">
        <f t="shared" si="1"/>
        <v>2149.44</v>
      </c>
      <c r="U7" s="35">
        <f t="shared" si="1"/>
        <v>2140.34</v>
      </c>
      <c r="V7" s="35">
        <f t="shared" si="1"/>
        <v>2119.7400000000002</v>
      </c>
      <c r="W7" s="35">
        <f t="shared" si="1"/>
        <v>2126.54</v>
      </c>
      <c r="X7" s="35">
        <f t="shared" si="1"/>
        <v>2216.64</v>
      </c>
      <c r="Y7" s="35">
        <f t="shared" si="1"/>
        <v>2278.84</v>
      </c>
      <c r="Z7" s="35">
        <f t="shared" si="1"/>
        <v>2280.44</v>
      </c>
      <c r="AA7" s="35">
        <f t="shared" si="1"/>
        <v>2211.14</v>
      </c>
      <c r="AB7" s="35">
        <f t="shared" si="1"/>
        <v>2196.84</v>
      </c>
      <c r="AC7" s="35">
        <f t="shared" si="1"/>
        <v>2191.2399999999998</v>
      </c>
      <c r="AD7" s="35">
        <f t="shared" si="1"/>
        <v>2164.9399999999996</v>
      </c>
      <c r="AE7" s="35">
        <f t="shared" si="1"/>
        <v>2085.7399999999998</v>
      </c>
      <c r="AF7" s="35">
        <f t="shared" si="1"/>
        <v>2064.34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90.5</v>
      </c>
      <c r="C11" s="45">
        <v>90.5</v>
      </c>
      <c r="D11" s="45">
        <v>90.5</v>
      </c>
      <c r="E11" s="45">
        <v>90.5</v>
      </c>
      <c r="F11" s="45">
        <v>90.5</v>
      </c>
      <c r="G11" s="45">
        <v>90.5</v>
      </c>
      <c r="H11" s="45" t="s">
        <v>268</v>
      </c>
      <c r="I11" s="45"/>
      <c r="J11" s="45">
        <v>0</v>
      </c>
      <c r="K11" s="45">
        <v>90</v>
      </c>
      <c r="L11" s="45">
        <v>0</v>
      </c>
      <c r="M11" s="45">
        <v>35</v>
      </c>
      <c r="N11" s="45">
        <v>90</v>
      </c>
      <c r="O11" s="45">
        <v>90</v>
      </c>
      <c r="P11" s="45">
        <v>90</v>
      </c>
      <c r="Q11" s="45">
        <v>90</v>
      </c>
      <c r="R11" s="45">
        <v>86</v>
      </c>
      <c r="S11" s="45">
        <v>87.3</v>
      </c>
      <c r="T11" s="45">
        <v>87.3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>
        <v>90.4</v>
      </c>
      <c r="AB11" s="45">
        <v>90.4</v>
      </c>
      <c r="AC11" s="45">
        <v>90.4</v>
      </c>
      <c r="AD11" s="45">
        <v>90.4</v>
      </c>
      <c r="AE11" s="45">
        <v>90.4</v>
      </c>
      <c r="AF11" s="45">
        <v>90.4</v>
      </c>
      <c r="AG11" s="46">
        <v>86</v>
      </c>
      <c r="AH11" s="47">
        <f t="shared" ref="AH11:AH76" si="2">MAX(B11:AF11)</f>
        <v>90.5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13</v>
      </c>
      <c r="E12" s="45">
        <v>13</v>
      </c>
      <c r="F12" s="45">
        <v>13</v>
      </c>
      <c r="G12" s="45">
        <v>13</v>
      </c>
      <c r="H12" s="45" t="s">
        <v>269</v>
      </c>
      <c r="I12" s="45"/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13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54.3</v>
      </c>
      <c r="C13" s="45">
        <v>54.3</v>
      </c>
      <c r="D13" s="45">
        <v>54.3</v>
      </c>
      <c r="E13" s="45">
        <v>54.3</v>
      </c>
      <c r="F13" s="45">
        <v>54.3</v>
      </c>
      <c r="G13" s="45">
        <v>54.3</v>
      </c>
      <c r="H13" s="45" t="s">
        <v>268</v>
      </c>
      <c r="I13" s="45"/>
      <c r="J13" s="45">
        <v>54.3</v>
      </c>
      <c r="K13" s="45">
        <v>54.3</v>
      </c>
      <c r="L13" s="45">
        <v>54.3</v>
      </c>
      <c r="M13" s="45">
        <v>54.3</v>
      </c>
      <c r="N13" s="45">
        <v>54.3</v>
      </c>
      <c r="O13" s="45">
        <v>54.3</v>
      </c>
      <c r="P13" s="45">
        <v>54.3</v>
      </c>
      <c r="Q13" s="45">
        <v>54.3</v>
      </c>
      <c r="R13" s="45">
        <v>52</v>
      </c>
      <c r="S13" s="45">
        <v>53.1</v>
      </c>
      <c r="T13" s="45">
        <v>53.1</v>
      </c>
      <c r="U13" s="45">
        <v>54.2</v>
      </c>
      <c r="V13" s="45">
        <v>54.2</v>
      </c>
      <c r="W13" s="45">
        <v>54.2</v>
      </c>
      <c r="X13" s="45">
        <v>54.2</v>
      </c>
      <c r="Y13" s="45">
        <v>54.2</v>
      </c>
      <c r="Z13" s="45">
        <v>54.2</v>
      </c>
      <c r="AA13" s="45">
        <v>54.2</v>
      </c>
      <c r="AB13" s="45">
        <v>54.2</v>
      </c>
      <c r="AC13" s="45">
        <v>54.2</v>
      </c>
      <c r="AD13" s="45">
        <v>54.1</v>
      </c>
      <c r="AE13" s="45">
        <v>54.1</v>
      </c>
      <c r="AF13" s="45">
        <v>54.1</v>
      </c>
      <c r="AG13" s="46">
        <v>52.4</v>
      </c>
      <c r="AH13" s="47">
        <f t="shared" si="2"/>
        <v>54.3</v>
      </c>
      <c r="AI13" s="48">
        <f t="shared" si="3"/>
        <v>52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50.7</v>
      </c>
      <c r="D14" s="58">
        <v>50.7</v>
      </c>
      <c r="E14" s="58">
        <v>50.7</v>
      </c>
      <c r="F14" s="58">
        <v>50.7</v>
      </c>
      <c r="G14" s="58">
        <v>50.7</v>
      </c>
      <c r="H14" s="58" t="s">
        <v>266</v>
      </c>
      <c r="I14" s="58"/>
      <c r="J14" s="58">
        <v>50.7</v>
      </c>
      <c r="K14" s="58">
        <v>50.7</v>
      </c>
      <c r="L14" s="58">
        <v>50.7</v>
      </c>
      <c r="M14" s="58">
        <v>50.7</v>
      </c>
      <c r="N14" s="58">
        <v>50.7</v>
      </c>
      <c r="O14" s="58">
        <v>50.7</v>
      </c>
      <c r="P14" s="58">
        <v>50.7</v>
      </c>
      <c r="Q14" s="58">
        <v>50.7</v>
      </c>
      <c r="R14" s="58">
        <v>50.7</v>
      </c>
      <c r="S14" s="58">
        <v>50.7</v>
      </c>
      <c r="T14" s="58">
        <v>50.7</v>
      </c>
      <c r="U14" s="58">
        <v>50.7</v>
      </c>
      <c r="V14" s="58">
        <v>50.7</v>
      </c>
      <c r="W14" s="58">
        <v>50.7</v>
      </c>
      <c r="X14" s="58">
        <v>50.7</v>
      </c>
      <c r="Y14" s="58">
        <v>50.7</v>
      </c>
      <c r="Z14" s="58">
        <v>50.7</v>
      </c>
      <c r="AA14" s="58">
        <v>50.7</v>
      </c>
      <c r="AB14" s="45">
        <v>50.5</v>
      </c>
      <c r="AC14" s="45">
        <v>50.5</v>
      </c>
      <c r="AD14" s="45">
        <v>50.5</v>
      </c>
      <c r="AE14" s="45">
        <v>50.4</v>
      </c>
      <c r="AF14" s="45">
        <v>50.4</v>
      </c>
      <c r="AG14" s="49">
        <v>50</v>
      </c>
      <c r="AH14" s="47">
        <f t="shared" si="2"/>
        <v>50.7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36</v>
      </c>
      <c r="C15" s="45">
        <v>36</v>
      </c>
      <c r="D15" s="45">
        <v>36</v>
      </c>
      <c r="E15" s="45">
        <v>36</v>
      </c>
      <c r="F15" s="45">
        <v>36</v>
      </c>
      <c r="G15" s="45">
        <v>37.299999999999997</v>
      </c>
      <c r="H15" s="45" t="s">
        <v>270</v>
      </c>
      <c r="I15" s="45"/>
      <c r="J15" s="45">
        <v>37.299999999999997</v>
      </c>
      <c r="K15" s="45">
        <v>37.299999999999997</v>
      </c>
      <c r="L15" s="45">
        <v>37.299999999999997</v>
      </c>
      <c r="M15" s="45">
        <v>46</v>
      </c>
      <c r="N15" s="45">
        <v>46</v>
      </c>
      <c r="O15" s="45">
        <v>46</v>
      </c>
      <c r="P15" s="45">
        <v>46</v>
      </c>
      <c r="Q15" s="45">
        <v>46</v>
      </c>
      <c r="R15" s="45">
        <v>46</v>
      </c>
      <c r="S15" s="45">
        <v>46.4</v>
      </c>
      <c r="T15" s="45">
        <v>46.4</v>
      </c>
      <c r="U15" s="45">
        <v>46.5</v>
      </c>
      <c r="V15" s="45">
        <v>46.5</v>
      </c>
      <c r="W15" s="45">
        <v>46.5</v>
      </c>
      <c r="X15" s="45">
        <v>46.5</v>
      </c>
      <c r="Y15" s="45">
        <v>46.5</v>
      </c>
      <c r="Z15" s="45">
        <v>46.5</v>
      </c>
      <c r="AA15" s="45">
        <v>46.5</v>
      </c>
      <c r="AB15" s="45">
        <v>46.3</v>
      </c>
      <c r="AC15" s="45">
        <v>46.3</v>
      </c>
      <c r="AD15" s="45">
        <v>46.4</v>
      </c>
      <c r="AE15" s="45">
        <v>46</v>
      </c>
      <c r="AF15" s="45">
        <v>37.4</v>
      </c>
      <c r="AG15" s="49">
        <v>45</v>
      </c>
      <c r="AH15" s="47">
        <f t="shared" si="2"/>
        <v>46.5</v>
      </c>
      <c r="AI15" s="48">
        <f t="shared" si="3"/>
        <v>36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 t="s">
        <v>271</v>
      </c>
      <c r="I16" s="45"/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44.7</v>
      </c>
      <c r="Z16" s="45">
        <v>44.7</v>
      </c>
      <c r="AA16" s="45">
        <v>44.7</v>
      </c>
      <c r="AB16" s="45">
        <v>44.7</v>
      </c>
      <c r="AC16" s="45">
        <v>44.7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44.7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29</v>
      </c>
      <c r="C17" s="45">
        <v>29</v>
      </c>
      <c r="D17" s="45">
        <v>29</v>
      </c>
      <c r="E17" s="45">
        <v>29</v>
      </c>
      <c r="F17" s="45">
        <v>29</v>
      </c>
      <c r="G17" s="45">
        <v>29</v>
      </c>
      <c r="H17" s="45" t="s">
        <v>262</v>
      </c>
      <c r="I17" s="45"/>
      <c r="J17" s="45">
        <v>29</v>
      </c>
      <c r="K17" s="45">
        <v>29</v>
      </c>
      <c r="L17" s="45">
        <v>29</v>
      </c>
      <c r="M17" s="45">
        <v>29</v>
      </c>
      <c r="N17" s="45">
        <v>36</v>
      </c>
      <c r="O17" s="45">
        <v>35</v>
      </c>
      <c r="P17" s="45">
        <v>36</v>
      </c>
      <c r="Q17" s="45">
        <v>36</v>
      </c>
      <c r="R17" s="45">
        <v>36</v>
      </c>
      <c r="S17" s="45">
        <v>35</v>
      </c>
      <c r="T17" s="45">
        <v>35</v>
      </c>
      <c r="U17" s="45">
        <v>36</v>
      </c>
      <c r="V17" s="45">
        <v>31.2</v>
      </c>
      <c r="W17" s="45">
        <v>31.2</v>
      </c>
      <c r="X17" s="45">
        <v>40.6</v>
      </c>
      <c r="Y17" s="45">
        <v>33.200000000000003</v>
      </c>
      <c r="Z17" s="45">
        <v>39</v>
      </c>
      <c r="AA17" s="45">
        <v>33</v>
      </c>
      <c r="AB17" s="45">
        <v>29</v>
      </c>
      <c r="AC17" s="45">
        <v>29</v>
      </c>
      <c r="AD17" s="45">
        <v>29</v>
      </c>
      <c r="AE17" s="45">
        <v>29</v>
      </c>
      <c r="AF17" s="45">
        <v>29</v>
      </c>
      <c r="AG17" s="49">
        <v>42</v>
      </c>
      <c r="AH17" s="47">
        <f t="shared" si="2"/>
        <v>40.6</v>
      </c>
      <c r="AI17" s="48">
        <f t="shared" si="3"/>
        <v>29</v>
      </c>
      <c r="AJ17" s="1">
        <f>105-30-26-10-15</f>
        <v>24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24</v>
      </c>
      <c r="C18" s="45">
        <v>24</v>
      </c>
      <c r="D18" s="45">
        <v>24</v>
      </c>
      <c r="E18" s="45">
        <v>24</v>
      </c>
      <c r="F18" s="45">
        <v>24</v>
      </c>
      <c r="G18" s="45">
        <v>24</v>
      </c>
      <c r="H18" s="45"/>
      <c r="I18" s="45"/>
      <c r="J18" s="45">
        <v>24</v>
      </c>
      <c r="K18" s="45">
        <v>24</v>
      </c>
      <c r="L18" s="45">
        <v>24</v>
      </c>
      <c r="M18" s="45">
        <v>28</v>
      </c>
      <c r="N18" s="45">
        <v>28</v>
      </c>
      <c r="O18" s="45">
        <v>28</v>
      </c>
      <c r="P18" s="45">
        <v>28</v>
      </c>
      <c r="Q18" s="45">
        <v>28</v>
      </c>
      <c r="R18" s="45">
        <v>28</v>
      </c>
      <c r="S18" s="45">
        <v>28</v>
      </c>
      <c r="T18" s="45">
        <v>28</v>
      </c>
      <c r="U18" s="45">
        <v>28</v>
      </c>
      <c r="V18" s="45">
        <v>28</v>
      </c>
      <c r="W18" s="45">
        <v>28</v>
      </c>
      <c r="X18" s="45">
        <v>28</v>
      </c>
      <c r="Y18" s="45">
        <v>28</v>
      </c>
      <c r="Z18" s="45">
        <v>28</v>
      </c>
      <c r="AA18" s="45">
        <v>28</v>
      </c>
      <c r="AB18" s="45">
        <v>32</v>
      </c>
      <c r="AC18" s="45">
        <v>32</v>
      </c>
      <c r="AD18" s="45">
        <v>32</v>
      </c>
      <c r="AE18" s="45">
        <v>32</v>
      </c>
      <c r="AF18" s="45">
        <v>32</v>
      </c>
      <c r="AG18" s="49">
        <v>38.46</v>
      </c>
      <c r="AH18" s="47">
        <f t="shared" si="2"/>
        <v>32</v>
      </c>
      <c r="AI18" s="48">
        <f t="shared" si="3"/>
        <v>24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 t="s">
        <v>282</v>
      </c>
      <c r="I19" s="45"/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15</v>
      </c>
      <c r="C20" s="45">
        <v>15</v>
      </c>
      <c r="D20" s="45">
        <v>10</v>
      </c>
      <c r="E20" s="45">
        <v>10.3</v>
      </c>
      <c r="F20" s="45">
        <v>10.3</v>
      </c>
      <c r="G20" s="45">
        <v>10.3</v>
      </c>
      <c r="H20" s="45" t="s">
        <v>267</v>
      </c>
      <c r="I20" s="45"/>
      <c r="J20" s="45">
        <v>30.1</v>
      </c>
      <c r="K20" s="45">
        <v>30.1</v>
      </c>
      <c r="L20" s="45">
        <v>30.1</v>
      </c>
      <c r="M20" s="45">
        <v>30.1</v>
      </c>
      <c r="N20" s="45">
        <v>30.1</v>
      </c>
      <c r="O20" s="45">
        <v>29.9</v>
      </c>
      <c r="P20" s="45">
        <v>29.9</v>
      </c>
      <c r="Q20" s="45">
        <v>20</v>
      </c>
      <c r="R20" s="45">
        <v>25</v>
      </c>
      <c r="S20" s="45">
        <v>20.100000000000001</v>
      </c>
      <c r="T20" s="45">
        <v>20.100000000000001</v>
      </c>
      <c r="U20" s="45">
        <v>20.100000000000001</v>
      </c>
      <c r="V20" s="45">
        <v>20.100000000000001</v>
      </c>
      <c r="W20" s="45">
        <v>20.100000000000001</v>
      </c>
      <c r="X20" s="45">
        <v>30</v>
      </c>
      <c r="Y20" s="45">
        <v>30</v>
      </c>
      <c r="Z20" s="45">
        <v>30</v>
      </c>
      <c r="AA20" s="45">
        <v>30</v>
      </c>
      <c r="AB20" s="45">
        <v>30</v>
      </c>
      <c r="AC20" s="45">
        <v>30</v>
      </c>
      <c r="AD20" s="45">
        <v>24.3</v>
      </c>
      <c r="AE20" s="45">
        <v>15.4</v>
      </c>
      <c r="AF20" s="45">
        <v>5.4</v>
      </c>
      <c r="AG20" s="51">
        <v>30</v>
      </c>
      <c r="AH20" s="47">
        <f t="shared" si="2"/>
        <v>30.1</v>
      </c>
      <c r="AI20" s="48">
        <f t="shared" si="3"/>
        <v>5.4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26</v>
      </c>
      <c r="C21" s="45">
        <v>33</v>
      </c>
      <c r="D21" s="45">
        <v>33</v>
      </c>
      <c r="E21" s="45">
        <v>33</v>
      </c>
      <c r="F21" s="45">
        <v>33</v>
      </c>
      <c r="G21" s="45">
        <v>33</v>
      </c>
      <c r="H21" s="45" t="s">
        <v>268</v>
      </c>
      <c r="I21" s="45"/>
      <c r="J21" s="45">
        <v>33</v>
      </c>
      <c r="K21" s="45">
        <v>33</v>
      </c>
      <c r="L21" s="45">
        <v>33</v>
      </c>
      <c r="M21" s="45">
        <v>33</v>
      </c>
      <c r="N21" s="45">
        <v>33</v>
      </c>
      <c r="O21" s="45">
        <v>33</v>
      </c>
      <c r="P21" s="45">
        <v>33</v>
      </c>
      <c r="Q21" s="45">
        <v>33</v>
      </c>
      <c r="R21" s="45">
        <v>25</v>
      </c>
      <c r="S21" s="45">
        <v>26.1</v>
      </c>
      <c r="T21" s="45">
        <v>26.1</v>
      </c>
      <c r="U21" s="45">
        <v>26.1</v>
      </c>
      <c r="V21" s="45">
        <v>26.1</v>
      </c>
      <c r="W21" s="45">
        <v>26.1</v>
      </c>
      <c r="X21" s="45">
        <v>33.1</v>
      </c>
      <c r="Y21" s="45">
        <v>33.1</v>
      </c>
      <c r="Z21" s="45">
        <v>33.1</v>
      </c>
      <c r="AA21" s="45">
        <v>33.1</v>
      </c>
      <c r="AB21" s="45">
        <v>33.1</v>
      </c>
      <c r="AC21" s="45">
        <v>33.1</v>
      </c>
      <c r="AD21" s="45">
        <v>33.1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25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>
        <v>28</v>
      </c>
      <c r="D22" s="45">
        <v>28</v>
      </c>
      <c r="E22" s="45">
        <v>28</v>
      </c>
      <c r="F22" s="45">
        <v>28</v>
      </c>
      <c r="G22" s="45">
        <v>28</v>
      </c>
      <c r="H22" s="45" t="s">
        <v>266</v>
      </c>
      <c r="I22" s="45"/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>
        <v>28</v>
      </c>
      <c r="AE22" s="45">
        <v>28</v>
      </c>
      <c r="AF22" s="45">
        <v>28</v>
      </c>
      <c r="AG22" s="49">
        <v>28</v>
      </c>
      <c r="AH22" s="47">
        <f t="shared" si="2"/>
        <v>28</v>
      </c>
      <c r="AI22" s="48">
        <f t="shared" si="3"/>
        <v>28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13</v>
      </c>
      <c r="C23" s="45">
        <v>10</v>
      </c>
      <c r="D23" s="45">
        <v>10</v>
      </c>
      <c r="E23" s="45">
        <v>12</v>
      </c>
      <c r="F23" s="45">
        <v>11.5</v>
      </c>
      <c r="G23" s="45">
        <v>11.5</v>
      </c>
      <c r="H23" s="45" t="s">
        <v>281</v>
      </c>
      <c r="I23" s="45"/>
      <c r="J23" s="45">
        <v>21</v>
      </c>
      <c r="K23" s="45">
        <v>21</v>
      </c>
      <c r="L23" s="45">
        <v>25</v>
      </c>
      <c r="M23" s="45">
        <v>25</v>
      </c>
      <c r="N23" s="45">
        <v>25</v>
      </c>
      <c r="O23" s="45">
        <v>25</v>
      </c>
      <c r="P23" s="45">
        <v>25</v>
      </c>
      <c r="Q23" s="45">
        <v>18</v>
      </c>
      <c r="R23" s="45">
        <v>21.2</v>
      </c>
      <c r="S23" s="45">
        <v>21.2</v>
      </c>
      <c r="T23" s="45">
        <v>21.2</v>
      </c>
      <c r="U23" s="45">
        <v>21.2</v>
      </c>
      <c r="V23" s="45">
        <v>21.2</v>
      </c>
      <c r="W23" s="45">
        <v>21.2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27</v>
      </c>
      <c r="AD23" s="45">
        <v>21</v>
      </c>
      <c r="AE23" s="45">
        <v>13.5</v>
      </c>
      <c r="AF23" s="45">
        <v>4.2</v>
      </c>
      <c r="AG23" s="51">
        <v>30</v>
      </c>
      <c r="AH23" s="47">
        <f t="shared" si="2"/>
        <v>27</v>
      </c>
      <c r="AI23" s="48">
        <f t="shared" si="3"/>
        <v>4.2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 t="s">
        <v>265</v>
      </c>
      <c r="I24" s="45"/>
      <c r="J24" s="45">
        <v>24.5</v>
      </c>
      <c r="K24" s="45">
        <v>24.5</v>
      </c>
      <c r="L24" s="45">
        <v>24.5</v>
      </c>
      <c r="M24" s="45">
        <v>24.5</v>
      </c>
      <c r="N24" s="45">
        <v>24.5</v>
      </c>
      <c r="O24" s="45">
        <v>24.5</v>
      </c>
      <c r="P24" s="45">
        <v>24.5</v>
      </c>
      <c r="Q24" s="45">
        <v>24.5</v>
      </c>
      <c r="R24" s="45">
        <v>24.5</v>
      </c>
      <c r="S24" s="45">
        <v>25.2</v>
      </c>
      <c r="T24" s="45">
        <v>25.2</v>
      </c>
      <c r="U24" s="45">
        <v>25.2</v>
      </c>
      <c r="V24" s="45">
        <v>25.2</v>
      </c>
      <c r="W24" s="45">
        <v>25.2</v>
      </c>
      <c r="X24" s="45">
        <v>25.2</v>
      </c>
      <c r="Y24" s="45">
        <v>25.2</v>
      </c>
      <c r="Z24" s="45">
        <v>25.2</v>
      </c>
      <c r="AA24" s="45">
        <v>25.2</v>
      </c>
      <c r="AB24" s="45">
        <v>24.5</v>
      </c>
      <c r="AC24" s="45">
        <v>24.5</v>
      </c>
      <c r="AD24" s="45">
        <f>25*0.8</f>
        <v>20</v>
      </c>
      <c r="AE24" s="45">
        <f>25*0.8</f>
        <v>20</v>
      </c>
      <c r="AF24" s="45">
        <f>25*0.8</f>
        <v>20</v>
      </c>
      <c r="AG24" s="49">
        <v>25</v>
      </c>
      <c r="AH24" s="47">
        <f t="shared" si="2"/>
        <v>25.2</v>
      </c>
      <c r="AI24" s="48">
        <f t="shared" si="3"/>
        <v>20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 t="s">
        <v>283</v>
      </c>
      <c r="I25" s="45"/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/>
      <c r="I26" s="45"/>
      <c r="J26" s="45">
        <v>25</v>
      </c>
      <c r="K26" s="45">
        <v>25</v>
      </c>
      <c r="L26" s="45">
        <v>25</v>
      </c>
      <c r="M26" s="45">
        <v>12</v>
      </c>
      <c r="N26" s="45">
        <v>12</v>
      </c>
      <c r="O26" s="45">
        <v>12</v>
      </c>
      <c r="P26" s="45">
        <v>12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12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13</v>
      </c>
      <c r="C27" s="45">
        <v>10</v>
      </c>
      <c r="D27" s="45">
        <v>10</v>
      </c>
      <c r="E27" s="45">
        <v>10</v>
      </c>
      <c r="F27" s="45">
        <v>10</v>
      </c>
      <c r="G27" s="45">
        <v>10</v>
      </c>
      <c r="H27" s="45"/>
      <c r="I27" s="45"/>
      <c r="J27" s="45">
        <v>20</v>
      </c>
      <c r="K27" s="45">
        <v>20</v>
      </c>
      <c r="L27" s="45">
        <v>24</v>
      </c>
      <c r="M27" s="45">
        <v>24</v>
      </c>
      <c r="N27" s="45">
        <v>24</v>
      </c>
      <c r="O27" s="45">
        <v>24</v>
      </c>
      <c r="P27" s="45">
        <v>24</v>
      </c>
      <c r="Q27" s="45">
        <v>17</v>
      </c>
      <c r="R27" s="45">
        <v>17</v>
      </c>
      <c r="S27" s="45">
        <v>17</v>
      </c>
      <c r="T27" s="45">
        <v>17</v>
      </c>
      <c r="U27" s="45">
        <v>17</v>
      </c>
      <c r="V27" s="45">
        <v>17</v>
      </c>
      <c r="W27" s="45">
        <v>17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25</v>
      </c>
      <c r="AD27" s="45">
        <v>25</v>
      </c>
      <c r="AE27" s="45">
        <v>12.5</v>
      </c>
      <c r="AF27" s="45">
        <v>4.5</v>
      </c>
      <c r="AG27" s="49">
        <v>25</v>
      </c>
      <c r="AH27" s="47">
        <f t="shared" si="2"/>
        <v>25</v>
      </c>
      <c r="AI27" s="48">
        <f t="shared" si="3"/>
        <v>4.5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25.3</v>
      </c>
      <c r="C28" s="45">
        <v>25.3</v>
      </c>
      <c r="D28" s="45">
        <v>25.3</v>
      </c>
      <c r="E28" s="45">
        <v>25.3</v>
      </c>
      <c r="F28" s="45">
        <v>25.3</v>
      </c>
      <c r="G28" s="45">
        <v>25.3</v>
      </c>
      <c r="H28" s="45"/>
      <c r="I28" s="45"/>
      <c r="J28" s="45">
        <v>25.3</v>
      </c>
      <c r="K28" s="45">
        <v>25.3</v>
      </c>
      <c r="L28" s="45">
        <v>25.3</v>
      </c>
      <c r="M28" s="45">
        <v>25.3</v>
      </c>
      <c r="N28" s="45">
        <v>25.3</v>
      </c>
      <c r="O28" s="45">
        <v>25.3</v>
      </c>
      <c r="P28" s="45">
        <v>25.3</v>
      </c>
      <c r="Q28" s="45">
        <v>25.3</v>
      </c>
      <c r="R28" s="45">
        <v>25.3</v>
      </c>
      <c r="S28" s="45">
        <v>25.3</v>
      </c>
      <c r="T28" s="45">
        <v>25.3</v>
      </c>
      <c r="U28" s="45">
        <v>25.3</v>
      </c>
      <c r="V28" s="45">
        <v>25.3</v>
      </c>
      <c r="W28" s="45">
        <v>25.3</v>
      </c>
      <c r="X28" s="45">
        <v>25.3</v>
      </c>
      <c r="Y28" s="45">
        <v>25.3</v>
      </c>
      <c r="Z28" s="45">
        <v>25.3</v>
      </c>
      <c r="AA28" s="45">
        <v>25.3</v>
      </c>
      <c r="AB28" s="45">
        <v>25.3</v>
      </c>
      <c r="AC28" s="45">
        <v>25.3</v>
      </c>
      <c r="AD28" s="45">
        <v>25.3</v>
      </c>
      <c r="AE28" s="45">
        <v>25.3</v>
      </c>
      <c r="AF28" s="45">
        <v>25.5</v>
      </c>
      <c r="AG28" s="49">
        <v>23.5</v>
      </c>
      <c r="AH28" s="47">
        <f t="shared" si="2"/>
        <v>25.5</v>
      </c>
      <c r="AI28" s="48">
        <f t="shared" si="3"/>
        <v>25.3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/>
      <c r="I29" s="45"/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/>
      <c r="I30" s="45"/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/>
      <c r="I31" s="45"/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/>
      <c r="I32" s="45"/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20</v>
      </c>
      <c r="T32" s="45">
        <v>20</v>
      </c>
      <c r="U32" s="45">
        <v>20</v>
      </c>
      <c r="V32" s="45">
        <v>20</v>
      </c>
      <c r="W32" s="45">
        <v>20</v>
      </c>
      <c r="X32" s="45">
        <v>20</v>
      </c>
      <c r="Y32" s="45">
        <v>20</v>
      </c>
      <c r="Z32" s="45">
        <v>20</v>
      </c>
      <c r="AA32" s="45">
        <v>20</v>
      </c>
      <c r="AB32" s="45">
        <v>20</v>
      </c>
      <c r="AC32" s="45">
        <v>20</v>
      </c>
      <c r="AD32" s="45">
        <v>20</v>
      </c>
      <c r="AE32" s="45">
        <v>20</v>
      </c>
      <c r="AF32" s="45">
        <v>20</v>
      </c>
      <c r="AG32" s="49">
        <v>22</v>
      </c>
      <c r="AH32" s="47">
        <f t="shared" si="2"/>
        <v>22</v>
      </c>
      <c r="AI32" s="48">
        <f t="shared" si="3"/>
        <v>20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8</v>
      </c>
      <c r="C33" s="45">
        <v>8</v>
      </c>
      <c r="D33" s="45">
        <v>8</v>
      </c>
      <c r="E33" s="45">
        <v>8</v>
      </c>
      <c r="F33" s="45">
        <v>8</v>
      </c>
      <c r="G33" s="45">
        <v>8</v>
      </c>
      <c r="H33" s="45"/>
      <c r="I33" s="45"/>
      <c r="J33" s="45">
        <v>8</v>
      </c>
      <c r="K33" s="45">
        <v>8</v>
      </c>
      <c r="L33" s="45">
        <v>10</v>
      </c>
      <c r="M33" s="45">
        <v>10</v>
      </c>
      <c r="N33" s="45">
        <v>20</v>
      </c>
      <c r="O33" s="45">
        <v>20</v>
      </c>
      <c r="P33" s="45">
        <v>20</v>
      </c>
      <c r="Q33" s="45">
        <v>20</v>
      </c>
      <c r="R33" s="45">
        <v>20</v>
      </c>
      <c r="S33" s="45">
        <v>15</v>
      </c>
      <c r="T33" s="45">
        <v>15</v>
      </c>
      <c r="U33" s="45">
        <v>10</v>
      </c>
      <c r="V33" s="45">
        <v>10</v>
      </c>
      <c r="W33" s="45">
        <v>10</v>
      </c>
      <c r="X33" s="45">
        <v>20</v>
      </c>
      <c r="Y33" s="45">
        <v>20</v>
      </c>
      <c r="Z33" s="45">
        <v>20</v>
      </c>
      <c r="AA33" s="45">
        <v>10</v>
      </c>
      <c r="AB33" s="45">
        <v>10</v>
      </c>
      <c r="AC33" s="45">
        <v>10</v>
      </c>
      <c r="AD33" s="45">
        <v>10</v>
      </c>
      <c r="AE33" s="45">
        <v>10</v>
      </c>
      <c r="AF33" s="45">
        <v>10</v>
      </c>
      <c r="AG33" s="49">
        <v>20</v>
      </c>
      <c r="AH33" s="47">
        <f t="shared" si="2"/>
        <v>20</v>
      </c>
      <c r="AI33" s="48">
        <f t="shared" si="3"/>
        <v>8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5</v>
      </c>
      <c r="D34" s="45">
        <v>5</v>
      </c>
      <c r="E34" s="45">
        <v>5</v>
      </c>
      <c r="F34" s="45">
        <v>5</v>
      </c>
      <c r="G34" s="45">
        <v>5</v>
      </c>
      <c r="H34" s="45"/>
      <c r="I34" s="45"/>
      <c r="J34" s="45">
        <v>5</v>
      </c>
      <c r="K34" s="45">
        <v>5</v>
      </c>
      <c r="L34" s="45">
        <v>8</v>
      </c>
      <c r="M34" s="45">
        <v>8</v>
      </c>
      <c r="N34" s="45">
        <v>15</v>
      </c>
      <c r="O34" s="45">
        <v>15</v>
      </c>
      <c r="P34" s="45">
        <v>15</v>
      </c>
      <c r="Q34" s="45">
        <v>10</v>
      </c>
      <c r="R34" s="45">
        <v>10</v>
      </c>
      <c r="S34" s="45">
        <v>10</v>
      </c>
      <c r="T34" s="45">
        <v>9</v>
      </c>
      <c r="U34" s="45">
        <v>9</v>
      </c>
      <c r="V34" s="45">
        <v>9</v>
      </c>
      <c r="W34" s="45">
        <v>9</v>
      </c>
      <c r="X34" s="45">
        <v>15</v>
      </c>
      <c r="Y34" s="45">
        <v>15</v>
      </c>
      <c r="Z34" s="45">
        <v>15</v>
      </c>
      <c r="AA34" s="45">
        <v>7</v>
      </c>
      <c r="AB34" s="45">
        <v>7</v>
      </c>
      <c r="AC34" s="45">
        <v>7</v>
      </c>
      <c r="AD34" s="45">
        <v>7</v>
      </c>
      <c r="AE34" s="45">
        <v>7</v>
      </c>
      <c r="AF34" s="45">
        <v>7</v>
      </c>
      <c r="AG34" s="49">
        <v>18</v>
      </c>
      <c r="AH34" s="47">
        <f t="shared" si="2"/>
        <v>15</v>
      </c>
      <c r="AI34" s="48">
        <f t="shared" si="3"/>
        <v>5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/>
      <c r="I35" s="45"/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/>
      <c r="I36" s="45"/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/>
      <c r="I37" s="45"/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/>
      <c r="I38" s="45"/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3</v>
      </c>
      <c r="D39" s="45">
        <v>3</v>
      </c>
      <c r="E39" s="45">
        <v>3</v>
      </c>
      <c r="F39" s="45">
        <v>3</v>
      </c>
      <c r="G39" s="45">
        <v>3</v>
      </c>
      <c r="H39" s="45"/>
      <c r="I39" s="45"/>
      <c r="J39" s="45">
        <v>9</v>
      </c>
      <c r="K39" s="45">
        <v>9</v>
      </c>
      <c r="L39" s="45">
        <v>9</v>
      </c>
      <c r="M39" s="45">
        <v>9</v>
      </c>
      <c r="N39" s="45">
        <v>9</v>
      </c>
      <c r="O39" s="45">
        <v>12</v>
      </c>
      <c r="P39" s="45">
        <v>10</v>
      </c>
      <c r="Q39" s="45">
        <v>8</v>
      </c>
      <c r="R39" s="45">
        <v>8</v>
      </c>
      <c r="S39" s="45">
        <v>8</v>
      </c>
      <c r="T39" s="45">
        <v>8</v>
      </c>
      <c r="U39" s="45">
        <v>8</v>
      </c>
      <c r="V39" s="45">
        <v>8</v>
      </c>
      <c r="W39" s="45">
        <v>8</v>
      </c>
      <c r="X39" s="45">
        <v>12</v>
      </c>
      <c r="Y39" s="45">
        <v>12</v>
      </c>
      <c r="Z39" s="45">
        <v>12</v>
      </c>
      <c r="AA39" s="45">
        <v>12</v>
      </c>
      <c r="AB39" s="45">
        <v>12</v>
      </c>
      <c r="AC39" s="45">
        <v>12</v>
      </c>
      <c r="AD39" s="45">
        <v>9.6</v>
      </c>
      <c r="AE39" s="45">
        <v>6</v>
      </c>
      <c r="AF39" s="45">
        <v>6</v>
      </c>
      <c r="AG39" s="49">
        <v>12</v>
      </c>
      <c r="AH39" s="47">
        <f t="shared" si="2"/>
        <v>12</v>
      </c>
      <c r="AI39" s="48">
        <f t="shared" si="3"/>
        <v>3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/>
      <c r="I40" s="45"/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/>
      <c r="I41" s="45"/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/>
      <c r="I42" s="45"/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/>
      <c r="I43" s="45"/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/>
      <c r="I44" s="45"/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11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/>
      <c r="I45" s="45"/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/>
      <c r="I46" s="45"/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9</v>
      </c>
      <c r="Z46" s="45">
        <v>9</v>
      </c>
      <c r="AA46" s="45">
        <v>9</v>
      </c>
      <c r="AB46" s="45">
        <v>9</v>
      </c>
      <c r="AC46" s="45">
        <v>9</v>
      </c>
      <c r="AD46" s="45">
        <v>9</v>
      </c>
      <c r="AE46" s="45">
        <v>9</v>
      </c>
      <c r="AF46" s="45">
        <v>9</v>
      </c>
      <c r="AG46" s="54">
        <v>10</v>
      </c>
      <c r="AH46" s="47">
        <f t="shared" si="2"/>
        <v>9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/>
      <c r="I47" s="45"/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/>
      <c r="I48" s="56"/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122.5</v>
      </c>
      <c r="C49" s="56">
        <v>122.5</v>
      </c>
      <c r="D49" s="56">
        <v>122.5</v>
      </c>
      <c r="E49" s="56">
        <v>126.5</v>
      </c>
      <c r="F49" s="56">
        <v>126.5</v>
      </c>
      <c r="G49" s="56">
        <v>126.5</v>
      </c>
      <c r="H49" s="56">
        <v>126.5</v>
      </c>
      <c r="I49" s="56">
        <v>126.5</v>
      </c>
      <c r="J49" s="56">
        <v>126.5</v>
      </c>
      <c r="K49" s="56">
        <v>126.5</v>
      </c>
      <c r="L49" s="56">
        <v>126.5</v>
      </c>
      <c r="M49" s="56">
        <v>126.5</v>
      </c>
      <c r="N49" s="56">
        <v>126.5</v>
      </c>
      <c r="O49" s="58">
        <f>33.9+89.7</f>
        <v>123.6</v>
      </c>
      <c r="P49" s="58">
        <f>33.9+89.7</f>
        <v>123.6</v>
      </c>
      <c r="Q49" s="58">
        <f>33.9+87.4</f>
        <v>121.30000000000001</v>
      </c>
      <c r="R49" s="58">
        <v>125</v>
      </c>
      <c r="S49" s="58">
        <v>125</v>
      </c>
      <c r="T49" s="58">
        <v>125.2</v>
      </c>
      <c r="U49" s="58">
        <v>125.2</v>
      </c>
      <c r="V49" s="58">
        <v>126</v>
      </c>
      <c r="W49" s="58">
        <v>124.3</v>
      </c>
      <c r="X49" s="56">
        <v>124</v>
      </c>
      <c r="Y49" s="56">
        <v>124</v>
      </c>
      <c r="Z49" s="56">
        <v>124</v>
      </c>
      <c r="AA49" s="56">
        <v>129</v>
      </c>
      <c r="AB49" s="56">
        <f>90.2+34</f>
        <v>124.2</v>
      </c>
      <c r="AC49" s="56">
        <f>90.3+34</f>
        <v>124.3</v>
      </c>
      <c r="AD49" s="56">
        <f>34+90.7</f>
        <v>124.7</v>
      </c>
      <c r="AE49" s="56">
        <f>35.9+91.2</f>
        <v>127.1</v>
      </c>
      <c r="AF49" s="56">
        <f>35.9+91.2</f>
        <v>127.1</v>
      </c>
      <c r="AG49" s="54">
        <v>240</v>
      </c>
      <c r="AH49" s="47">
        <f t="shared" si="2"/>
        <v>129</v>
      </c>
      <c r="AI49" s="48">
        <f t="shared" si="3"/>
        <v>121.30000000000001</v>
      </c>
      <c r="AK49" s="50"/>
    </row>
    <row r="50" spans="1:41" ht="15.75" thickBot="1" x14ac:dyDescent="0.3">
      <c r="A50" s="59" t="s">
        <v>58</v>
      </c>
      <c r="B50" s="60">
        <f t="shared" ref="B50:C50" si="4">SUM(B11:B48)</f>
        <v>1128.8</v>
      </c>
      <c r="C50" s="60">
        <f t="shared" si="4"/>
        <v>1126.8</v>
      </c>
      <c r="D50" s="60">
        <f t="shared" ref="D50:E50" si="5">SUM(D11:D48)</f>
        <v>1121.8</v>
      </c>
      <c r="E50" s="60">
        <f t="shared" si="5"/>
        <v>1124.0999999999999</v>
      </c>
      <c r="F50" s="60">
        <f t="shared" ref="F50:G50" si="6">SUM(F11:F48)</f>
        <v>1123.5999999999999</v>
      </c>
      <c r="G50" s="60">
        <f t="shared" si="6"/>
        <v>1124.9000000000001</v>
      </c>
      <c r="H50" s="60">
        <f t="shared" ref="H50:AC50" si="7">SUM(H11:H48)</f>
        <v>0</v>
      </c>
      <c r="I50" s="60">
        <f t="shared" ref="I50:K50" si="8">SUM(I11:I48)</f>
        <v>0</v>
      </c>
      <c r="J50" s="60">
        <f t="shared" si="8"/>
        <v>1079.7</v>
      </c>
      <c r="K50" s="60">
        <f t="shared" si="8"/>
        <v>1169.7</v>
      </c>
      <c r="L50" s="60">
        <f t="shared" ref="L50" si="9">SUM(L11:L48)</f>
        <v>1092.7</v>
      </c>
      <c r="M50" s="60">
        <f t="shared" si="7"/>
        <v>1127.4000000000001</v>
      </c>
      <c r="N50" s="60">
        <f t="shared" si="7"/>
        <v>1206.4000000000001</v>
      </c>
      <c r="O50" s="60">
        <f t="shared" si="7"/>
        <v>1208.1999999999998</v>
      </c>
      <c r="P50" s="60">
        <f t="shared" si="7"/>
        <v>1207.1999999999998</v>
      </c>
      <c r="Q50" s="60">
        <f t="shared" si="7"/>
        <v>1189.3</v>
      </c>
      <c r="R50" s="60">
        <f t="shared" si="7"/>
        <v>1183.1999999999998</v>
      </c>
      <c r="S50" s="60">
        <f t="shared" si="7"/>
        <v>1174.9000000000001</v>
      </c>
      <c r="T50" s="60">
        <f t="shared" si="7"/>
        <v>1173.9000000000001</v>
      </c>
      <c r="U50" s="60">
        <f t="shared" si="7"/>
        <v>1174.2</v>
      </c>
      <c r="V50" s="60">
        <f t="shared" si="7"/>
        <v>1169.4000000000001</v>
      </c>
      <c r="W50" s="60">
        <f t="shared" si="7"/>
        <v>1169.4000000000001</v>
      </c>
      <c r="X50" s="60">
        <f t="shared" si="7"/>
        <v>1229.5</v>
      </c>
      <c r="Y50" s="60">
        <f t="shared" si="7"/>
        <v>1222.8</v>
      </c>
      <c r="Z50" s="60">
        <f t="shared" si="7"/>
        <v>1228.5999999999999</v>
      </c>
      <c r="AA50" s="60">
        <f t="shared" si="7"/>
        <v>1204.5999999999999</v>
      </c>
      <c r="AB50" s="60">
        <f t="shared" si="7"/>
        <v>1203.5</v>
      </c>
      <c r="AC50" s="60">
        <f t="shared" si="7"/>
        <v>1203.5</v>
      </c>
      <c r="AD50" s="60">
        <f t="shared" ref="AD50:AE50" si="10">SUM(AD11:AD48)</f>
        <v>1184.1999999999998</v>
      </c>
      <c r="AE50" s="60">
        <f t="shared" si="10"/>
        <v>1151.1999999999998</v>
      </c>
      <c r="AF50" s="60">
        <f t="shared" ref="AF50" si="11">SUM(AF11:AF48)</f>
        <v>1115.5</v>
      </c>
      <c r="AG50" s="61">
        <f>SUM(AG13:AG48)</f>
        <v>922.14</v>
      </c>
      <c r="AH50" s="47">
        <f t="shared" si="2"/>
        <v>1229.5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395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/>
      <c r="I51" s="45"/>
      <c r="J51" s="45">
        <v>456</v>
      </c>
      <c r="K51" s="45">
        <v>456</v>
      </c>
      <c r="L51" s="45">
        <v>456</v>
      </c>
      <c r="M51" s="45">
        <v>456</v>
      </c>
      <c r="N51" s="45">
        <v>456</v>
      </c>
      <c r="O51" s="45">
        <v>456</v>
      </c>
      <c r="P51" s="45">
        <v>456</v>
      </c>
      <c r="Q51" s="45">
        <v>456</v>
      </c>
      <c r="R51" s="45">
        <v>456</v>
      </c>
      <c r="S51" s="45">
        <v>456</v>
      </c>
      <c r="T51" s="45">
        <v>456</v>
      </c>
      <c r="U51" s="45">
        <v>456</v>
      </c>
      <c r="V51" s="45">
        <v>456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395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/>
      <c r="I52" s="64"/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/>
      <c r="I53" s="66"/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>
        <v>22</v>
      </c>
      <c r="AB53" s="66">
        <v>22</v>
      </c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:C54" si="12">SUM(B51:B53)</f>
        <v>477</v>
      </c>
      <c r="C54" s="60">
        <f t="shared" si="12"/>
        <v>538</v>
      </c>
      <c r="D54" s="60">
        <f t="shared" ref="D54:E54" si="13">SUM(D51:D53)</f>
        <v>538</v>
      </c>
      <c r="E54" s="60">
        <f t="shared" si="13"/>
        <v>538</v>
      </c>
      <c r="F54" s="60">
        <f t="shared" ref="F54:G54" si="14">SUM(F51:F53)</f>
        <v>538</v>
      </c>
      <c r="G54" s="60">
        <f t="shared" si="14"/>
        <v>538</v>
      </c>
      <c r="H54" s="60">
        <f t="shared" ref="H54:AG54" si="15">SUM(H51:H53)</f>
        <v>0</v>
      </c>
      <c r="I54" s="60">
        <f t="shared" ref="I54:J54" si="16">SUM(I51:I53)</f>
        <v>0</v>
      </c>
      <c r="J54" s="60">
        <f t="shared" si="16"/>
        <v>538</v>
      </c>
      <c r="K54" s="60">
        <f t="shared" ref="K54:L54" si="17">SUM(K51:K53)</f>
        <v>538</v>
      </c>
      <c r="L54" s="60">
        <f t="shared" si="17"/>
        <v>538</v>
      </c>
      <c r="M54" s="60">
        <f t="shared" si="15"/>
        <v>538</v>
      </c>
      <c r="N54" s="60">
        <f t="shared" si="15"/>
        <v>538</v>
      </c>
      <c r="O54" s="60">
        <f t="shared" si="15"/>
        <v>538</v>
      </c>
      <c r="P54" s="60">
        <f t="shared" si="15"/>
        <v>538</v>
      </c>
      <c r="Q54" s="60">
        <f t="shared" si="15"/>
        <v>538</v>
      </c>
      <c r="R54" s="60">
        <f t="shared" si="15"/>
        <v>538</v>
      </c>
      <c r="S54" s="60">
        <f t="shared" si="15"/>
        <v>538</v>
      </c>
      <c r="T54" s="60">
        <f t="shared" si="15"/>
        <v>538</v>
      </c>
      <c r="U54" s="60">
        <f t="shared" si="15"/>
        <v>538</v>
      </c>
      <c r="V54" s="60">
        <f t="shared" si="15"/>
        <v>538</v>
      </c>
      <c r="W54" s="60">
        <f t="shared" si="15"/>
        <v>538</v>
      </c>
      <c r="X54" s="60">
        <f t="shared" si="15"/>
        <v>538</v>
      </c>
      <c r="Y54" s="60">
        <f t="shared" si="15"/>
        <v>538</v>
      </c>
      <c r="Z54" s="60">
        <f t="shared" si="15"/>
        <v>538</v>
      </c>
      <c r="AA54" s="60">
        <f t="shared" si="15"/>
        <v>538</v>
      </c>
      <c r="AB54" s="60">
        <f t="shared" si="15"/>
        <v>538</v>
      </c>
      <c r="AC54" s="60">
        <f t="shared" si="15"/>
        <v>538</v>
      </c>
      <c r="AD54" s="60">
        <f t="shared" si="15"/>
        <v>538</v>
      </c>
      <c r="AE54" s="60">
        <f t="shared" ref="AE54:AF54" si="18">SUM(AE51:AE53)</f>
        <v>538</v>
      </c>
      <c r="AF54" s="60">
        <f t="shared" si="18"/>
        <v>538</v>
      </c>
      <c r="AG54" s="61">
        <f t="shared" si="15"/>
        <v>538.1</v>
      </c>
      <c r="AH54" s="47">
        <f t="shared" si="2"/>
        <v>538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136</v>
      </c>
      <c r="C55" s="45">
        <v>136</v>
      </c>
      <c r="D55" s="45">
        <v>136</v>
      </c>
      <c r="E55" s="45">
        <v>136</v>
      </c>
      <c r="F55" s="45">
        <v>136</v>
      </c>
      <c r="G55" s="45">
        <v>136</v>
      </c>
      <c r="H55" s="45"/>
      <c r="I55" s="45"/>
      <c r="J55" s="45">
        <v>145.5</v>
      </c>
      <c r="K55" s="45">
        <v>145.5</v>
      </c>
      <c r="L55" s="45">
        <v>145.5</v>
      </c>
      <c r="M55" s="45">
        <v>145.5</v>
      </c>
      <c r="N55" s="45">
        <v>145.5</v>
      </c>
      <c r="O55" s="45">
        <v>142</v>
      </c>
      <c r="P55" s="45">
        <v>142</v>
      </c>
      <c r="Q55" s="45">
        <v>146.30000000000001</v>
      </c>
      <c r="R55" s="45">
        <v>145.30000000000001</v>
      </c>
      <c r="S55" s="45">
        <v>145.30000000000001</v>
      </c>
      <c r="T55" s="45">
        <v>145.30000000000001</v>
      </c>
      <c r="U55" s="45">
        <v>145.69999999999999</v>
      </c>
      <c r="V55" s="45">
        <v>145.69999999999999</v>
      </c>
      <c r="W55" s="45">
        <v>145.69999999999999</v>
      </c>
      <c r="X55" s="45">
        <v>145.69999999999999</v>
      </c>
      <c r="Y55" s="45">
        <v>145.69999999999999</v>
      </c>
      <c r="Z55" s="45">
        <v>145.69999999999999</v>
      </c>
      <c r="AA55" s="45">
        <v>145.69999999999999</v>
      </c>
      <c r="AB55" s="45">
        <v>146.19999999999999</v>
      </c>
      <c r="AC55" s="45">
        <v>145.69999999999999</v>
      </c>
      <c r="AD55" s="45">
        <v>146</v>
      </c>
      <c r="AE55" s="45">
        <v>138.9</v>
      </c>
      <c r="AF55" s="45">
        <v>141.30000000000001</v>
      </c>
      <c r="AG55" s="51">
        <v>144</v>
      </c>
      <c r="AH55" s="47">
        <f t="shared" si="2"/>
        <v>146.30000000000001</v>
      </c>
      <c r="AI55" s="48">
        <f t="shared" si="3"/>
        <v>136</v>
      </c>
      <c r="AK55" s="50"/>
    </row>
    <row r="56" spans="1:41" x14ac:dyDescent="0.25">
      <c r="A56" s="53" t="s">
        <v>64</v>
      </c>
      <c r="B56" s="64">
        <v>69.7</v>
      </c>
      <c r="C56" s="64">
        <v>69.7</v>
      </c>
      <c r="D56" s="64">
        <v>69.7</v>
      </c>
      <c r="E56" s="64">
        <v>69.7</v>
      </c>
      <c r="F56" s="64">
        <v>69.7</v>
      </c>
      <c r="G56" s="64">
        <v>69.7</v>
      </c>
      <c r="H56" s="64"/>
      <c r="I56" s="64"/>
      <c r="J56" s="64">
        <v>69.900000000000006</v>
      </c>
      <c r="K56" s="64">
        <v>69.900000000000006</v>
      </c>
      <c r="L56" s="64">
        <v>69.900000000000006</v>
      </c>
      <c r="M56" s="64">
        <v>69.900000000000006</v>
      </c>
      <c r="N56" s="64">
        <v>69.900000000000006</v>
      </c>
      <c r="O56" s="64">
        <v>69.8</v>
      </c>
      <c r="P56" s="64">
        <v>69.8</v>
      </c>
      <c r="Q56" s="64">
        <v>70.599999999999994</v>
      </c>
      <c r="R56" s="64">
        <v>69</v>
      </c>
      <c r="S56" s="64">
        <v>69</v>
      </c>
      <c r="T56" s="64">
        <v>69</v>
      </c>
      <c r="U56" s="45">
        <v>70</v>
      </c>
      <c r="V56" s="45">
        <v>70</v>
      </c>
      <c r="W56" s="45">
        <v>70</v>
      </c>
      <c r="X56" s="45">
        <v>70</v>
      </c>
      <c r="Y56" s="45">
        <v>70</v>
      </c>
      <c r="Z56" s="45">
        <v>70</v>
      </c>
      <c r="AA56" s="45">
        <v>70</v>
      </c>
      <c r="AB56" s="45">
        <v>68.8</v>
      </c>
      <c r="AC56" s="45">
        <v>70.099999999999994</v>
      </c>
      <c r="AD56" s="64">
        <v>69.2</v>
      </c>
      <c r="AE56" s="64">
        <v>68.7</v>
      </c>
      <c r="AF56" s="64">
        <v>68.7</v>
      </c>
      <c r="AG56" s="54">
        <v>70</v>
      </c>
      <c r="AH56" s="47">
        <f t="shared" si="2"/>
        <v>70.599999999999994</v>
      </c>
      <c r="AI56" s="48">
        <f t="shared" si="3"/>
        <v>68.7</v>
      </c>
      <c r="AK56" s="50"/>
    </row>
    <row r="57" spans="1:41" x14ac:dyDescent="0.25">
      <c r="A57" s="53" t="s">
        <v>65</v>
      </c>
      <c r="B57" s="64">
        <v>52.5</v>
      </c>
      <c r="C57" s="64">
        <v>67</v>
      </c>
      <c r="D57" s="64">
        <v>67</v>
      </c>
      <c r="E57" s="64">
        <v>60</v>
      </c>
      <c r="F57" s="64">
        <v>60</v>
      </c>
      <c r="G57" s="64">
        <v>67.400000000000006</v>
      </c>
      <c r="H57" s="64"/>
      <c r="I57" s="64"/>
      <c r="J57" s="64">
        <v>67.400000000000006</v>
      </c>
      <c r="K57" s="64">
        <v>67.400000000000006</v>
      </c>
      <c r="L57" s="64">
        <v>67.400000000000006</v>
      </c>
      <c r="M57" s="64">
        <v>67.400000000000006</v>
      </c>
      <c r="N57" s="64">
        <v>67.400000000000006</v>
      </c>
      <c r="O57" s="64">
        <v>67.400000000000006</v>
      </c>
      <c r="P57" s="64">
        <v>67.400000000000006</v>
      </c>
      <c r="Q57" s="64">
        <v>68</v>
      </c>
      <c r="R57" s="64">
        <v>67.599999999999994</v>
      </c>
      <c r="S57" s="64">
        <v>67.599999999999994</v>
      </c>
      <c r="T57" s="64">
        <v>70.099999999999994</v>
      </c>
      <c r="U57" s="45">
        <v>70.3</v>
      </c>
      <c r="V57" s="45">
        <v>63.5</v>
      </c>
      <c r="W57" s="45">
        <v>70.900000000000006</v>
      </c>
      <c r="X57" s="45">
        <v>70.900000000000006</v>
      </c>
      <c r="Y57" s="45">
        <v>70.900000000000006</v>
      </c>
      <c r="Z57" s="45">
        <v>70.900000000000006</v>
      </c>
      <c r="AA57" s="45">
        <v>70.900000000000006</v>
      </c>
      <c r="AB57" s="45">
        <v>69.8</v>
      </c>
      <c r="AC57" s="45">
        <v>69.599999999999994</v>
      </c>
      <c r="AD57" s="64">
        <v>69.5</v>
      </c>
      <c r="AE57" s="64">
        <v>66.2</v>
      </c>
      <c r="AF57" s="64">
        <v>69.3</v>
      </c>
      <c r="AG57" s="54">
        <v>69</v>
      </c>
      <c r="AH57" s="47">
        <f t="shared" si="2"/>
        <v>70.900000000000006</v>
      </c>
      <c r="AI57" s="48">
        <f t="shared" si="3"/>
        <v>52.5</v>
      </c>
      <c r="AK57" s="50"/>
    </row>
    <row r="58" spans="1:41" x14ac:dyDescent="0.25">
      <c r="A58" s="53" t="s">
        <v>66</v>
      </c>
      <c r="B58" s="64">
        <v>51.6</v>
      </c>
      <c r="C58" s="64">
        <v>51.6</v>
      </c>
      <c r="D58" s="64">
        <v>51.6</v>
      </c>
      <c r="E58" s="64">
        <v>42.1</v>
      </c>
      <c r="F58" s="64">
        <v>42.1</v>
      </c>
      <c r="G58" s="64">
        <v>42.1</v>
      </c>
      <c r="H58" s="64"/>
      <c r="I58" s="64"/>
      <c r="J58" s="64">
        <v>60.9</v>
      </c>
      <c r="K58" s="64">
        <v>60.9</v>
      </c>
      <c r="L58" s="64">
        <v>60.9</v>
      </c>
      <c r="M58" s="64">
        <v>60.9</v>
      </c>
      <c r="N58" s="64">
        <v>60.9</v>
      </c>
      <c r="O58" s="64">
        <v>60.9</v>
      </c>
      <c r="P58" s="64">
        <v>60.9</v>
      </c>
      <c r="Q58" s="64">
        <v>59</v>
      </c>
      <c r="R58" s="64">
        <v>59</v>
      </c>
      <c r="S58" s="64">
        <v>59</v>
      </c>
      <c r="T58" s="64">
        <v>60</v>
      </c>
      <c r="U58" s="45">
        <v>60.2</v>
      </c>
      <c r="V58" s="45">
        <v>60.2</v>
      </c>
      <c r="W58" s="45">
        <v>60.2</v>
      </c>
      <c r="X58" s="45">
        <v>60.2</v>
      </c>
      <c r="Y58" s="45">
        <v>60.2</v>
      </c>
      <c r="Z58" s="45">
        <v>60.2</v>
      </c>
      <c r="AA58" s="45">
        <v>60.2</v>
      </c>
      <c r="AB58" s="45">
        <v>60.4</v>
      </c>
      <c r="AC58" s="45">
        <v>60.4</v>
      </c>
      <c r="AD58" s="64">
        <v>60.4</v>
      </c>
      <c r="AE58" s="64">
        <v>50.4</v>
      </c>
      <c r="AF58" s="64">
        <v>61.2</v>
      </c>
      <c r="AG58" s="54">
        <v>60</v>
      </c>
      <c r="AH58" s="47">
        <f t="shared" si="2"/>
        <v>61.2</v>
      </c>
      <c r="AI58" s="48">
        <f t="shared" si="3"/>
        <v>42.1</v>
      </c>
      <c r="AK58" s="50"/>
    </row>
    <row r="59" spans="1:41" x14ac:dyDescent="0.25">
      <c r="A59" s="53" t="s">
        <v>67</v>
      </c>
      <c r="B59" s="64">
        <v>15</v>
      </c>
      <c r="C59" s="64">
        <v>15</v>
      </c>
      <c r="D59" s="64">
        <v>15</v>
      </c>
      <c r="E59" s="64">
        <v>13</v>
      </c>
      <c r="F59" s="64">
        <v>13</v>
      </c>
      <c r="G59" s="64">
        <v>15</v>
      </c>
      <c r="H59" s="64"/>
      <c r="I59" s="64"/>
      <c r="J59" s="64">
        <v>15</v>
      </c>
      <c r="K59" s="64">
        <v>15</v>
      </c>
      <c r="L59" s="64">
        <v>15</v>
      </c>
      <c r="M59" s="64">
        <v>24</v>
      </c>
      <c r="N59" s="64">
        <v>24</v>
      </c>
      <c r="O59" s="64">
        <v>24</v>
      </c>
      <c r="P59" s="64">
        <v>24</v>
      </c>
      <c r="Q59" s="64">
        <v>24</v>
      </c>
      <c r="R59" s="64">
        <v>24</v>
      </c>
      <c r="S59" s="64">
        <v>24</v>
      </c>
      <c r="T59" s="64">
        <v>24</v>
      </c>
      <c r="U59" s="45">
        <v>12</v>
      </c>
      <c r="V59" s="45">
        <v>12</v>
      </c>
      <c r="W59" s="45">
        <v>12</v>
      </c>
      <c r="X59" s="45">
        <v>12</v>
      </c>
      <c r="Y59" s="45">
        <v>13</v>
      </c>
      <c r="Z59" s="45">
        <v>24</v>
      </c>
      <c r="AA59" s="45">
        <v>24</v>
      </c>
      <c r="AB59" s="45">
        <v>28</v>
      </c>
      <c r="AC59" s="45">
        <v>28</v>
      </c>
      <c r="AD59" s="64">
        <v>28</v>
      </c>
      <c r="AE59" s="64">
        <v>15</v>
      </c>
      <c r="AF59" s="64">
        <v>15</v>
      </c>
      <c r="AG59" s="54">
        <v>30</v>
      </c>
      <c r="AH59" s="47">
        <f t="shared" si="2"/>
        <v>28</v>
      </c>
      <c r="AI59" s="48">
        <f t="shared" si="3"/>
        <v>12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/>
      <c r="I60" s="64"/>
      <c r="J60" s="64">
        <v>0.3</v>
      </c>
      <c r="K60" s="64">
        <v>0.3</v>
      </c>
      <c r="L60" s="64">
        <v>0.3</v>
      </c>
      <c r="M60" s="64">
        <v>5</v>
      </c>
      <c r="N60" s="64">
        <v>11</v>
      </c>
      <c r="O60" s="64">
        <v>14.5</v>
      </c>
      <c r="P60" s="64">
        <v>14.5</v>
      </c>
      <c r="Q60" s="64">
        <v>16.8</v>
      </c>
      <c r="R60" s="64">
        <v>16.8</v>
      </c>
      <c r="S60" s="64">
        <v>13</v>
      </c>
      <c r="T60" s="64">
        <v>9</v>
      </c>
      <c r="U60" s="45">
        <v>3.1</v>
      </c>
      <c r="V60" s="45">
        <v>0.6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16.8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15</v>
      </c>
      <c r="C61" s="64">
        <v>15</v>
      </c>
      <c r="D61" s="64">
        <v>15</v>
      </c>
      <c r="E61" s="64">
        <v>15</v>
      </c>
      <c r="F61" s="64">
        <v>15</v>
      </c>
      <c r="G61" s="64">
        <v>15</v>
      </c>
      <c r="H61" s="64"/>
      <c r="I61" s="64"/>
      <c r="J61" s="64">
        <v>15</v>
      </c>
      <c r="K61" s="64">
        <v>15</v>
      </c>
      <c r="L61" s="64">
        <v>15</v>
      </c>
      <c r="M61" s="64">
        <v>15</v>
      </c>
      <c r="N61" s="64">
        <v>15</v>
      </c>
      <c r="O61" s="64">
        <v>15</v>
      </c>
      <c r="P61" s="64">
        <v>15</v>
      </c>
      <c r="Q61" s="64">
        <v>15</v>
      </c>
      <c r="R61" s="64">
        <v>15</v>
      </c>
      <c r="S61" s="64">
        <v>15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>
        <v>15</v>
      </c>
      <c r="AB61" s="64">
        <v>15</v>
      </c>
      <c r="AC61" s="64">
        <v>15</v>
      </c>
      <c r="AD61" s="64">
        <v>15</v>
      </c>
      <c r="AE61" s="64">
        <v>12</v>
      </c>
      <c r="AF61" s="64">
        <v>10</v>
      </c>
      <c r="AG61" s="54">
        <v>24</v>
      </c>
      <c r="AH61" s="47">
        <f t="shared" si="2"/>
        <v>15</v>
      </c>
      <c r="AI61" s="48">
        <f t="shared" si="3"/>
        <v>10</v>
      </c>
      <c r="AK61" s="50"/>
    </row>
    <row r="62" spans="1:41" x14ac:dyDescent="0.25">
      <c r="A62" s="53" t="s">
        <v>70</v>
      </c>
      <c r="B62" s="64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/>
      <c r="I62" s="64"/>
      <c r="J62" s="64">
        <v>0</v>
      </c>
      <c r="K62" s="64">
        <v>0</v>
      </c>
      <c r="L62" s="64">
        <v>0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2.7</v>
      </c>
      <c r="T62" s="64">
        <v>2.7</v>
      </c>
      <c r="U62" s="64">
        <v>2.7</v>
      </c>
      <c r="V62" s="64">
        <v>2.7</v>
      </c>
      <c r="W62" s="64">
        <v>2.7</v>
      </c>
      <c r="X62" s="64">
        <v>2.7</v>
      </c>
      <c r="Y62" s="64">
        <v>2.7</v>
      </c>
      <c r="Z62" s="64">
        <v>2.7</v>
      </c>
      <c r="AA62" s="64">
        <v>2.7</v>
      </c>
      <c r="AB62" s="64">
        <v>2.7</v>
      </c>
      <c r="AC62" s="64">
        <v>2.7</v>
      </c>
      <c r="AD62" s="64">
        <v>2.7</v>
      </c>
      <c r="AE62" s="64">
        <v>2.7</v>
      </c>
      <c r="AF62" s="64">
        <v>2.7</v>
      </c>
      <c r="AG62" s="54">
        <v>15</v>
      </c>
      <c r="AH62" s="47">
        <f t="shared" si="2"/>
        <v>5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9.4</v>
      </c>
      <c r="C63" s="64">
        <v>9.4</v>
      </c>
      <c r="D63" s="64">
        <v>9.4</v>
      </c>
      <c r="E63" s="64">
        <v>9.4</v>
      </c>
      <c r="F63" s="64">
        <v>9.4</v>
      </c>
      <c r="G63" s="64">
        <v>9.4</v>
      </c>
      <c r="H63" s="64"/>
      <c r="I63" s="64"/>
      <c r="J63" s="64">
        <v>9.4</v>
      </c>
      <c r="K63" s="64">
        <v>9.4</v>
      </c>
      <c r="L63" s="64">
        <v>9.4</v>
      </c>
      <c r="M63" s="64">
        <v>9.4</v>
      </c>
      <c r="N63" s="64">
        <v>9.4</v>
      </c>
      <c r="O63" s="64">
        <v>9.4</v>
      </c>
      <c r="P63" s="64">
        <v>9.4</v>
      </c>
      <c r="Q63" s="64">
        <v>9.5</v>
      </c>
      <c r="R63" s="64">
        <v>9.5</v>
      </c>
      <c r="S63" s="64">
        <v>9.5</v>
      </c>
      <c r="T63" s="64">
        <v>9.5</v>
      </c>
      <c r="U63" s="64">
        <v>9.5</v>
      </c>
      <c r="V63" s="64">
        <v>9.5</v>
      </c>
      <c r="W63" s="64">
        <v>9.5</v>
      </c>
      <c r="X63" s="64">
        <v>9.5</v>
      </c>
      <c r="Y63" s="64">
        <v>9.5</v>
      </c>
      <c r="Z63" s="64">
        <v>9.5</v>
      </c>
      <c r="AA63" s="64">
        <v>9.5</v>
      </c>
      <c r="AB63" s="64">
        <v>9.5</v>
      </c>
      <c r="AC63" s="64">
        <v>9.5</v>
      </c>
      <c r="AD63" s="64">
        <v>9.6</v>
      </c>
      <c r="AE63" s="64">
        <v>9.6</v>
      </c>
      <c r="AF63" s="64">
        <v>9.6</v>
      </c>
      <c r="AG63" s="54">
        <v>14.1</v>
      </c>
      <c r="AH63" s="47">
        <f t="shared" si="2"/>
        <v>9.6</v>
      </c>
      <c r="AI63" s="48">
        <f t="shared" si="3"/>
        <v>9.4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</v>
      </c>
      <c r="C64" s="64">
        <v>14</v>
      </c>
      <c r="D64" s="64">
        <v>11.4</v>
      </c>
      <c r="E64" s="64">
        <v>11.4</v>
      </c>
      <c r="F64" s="64">
        <v>11.8</v>
      </c>
      <c r="G64" s="64">
        <v>11.4</v>
      </c>
      <c r="H64" s="64"/>
      <c r="I64" s="64"/>
      <c r="J64" s="64">
        <v>11.4</v>
      </c>
      <c r="K64" s="64">
        <v>11.4</v>
      </c>
      <c r="L64" s="64">
        <v>11.4</v>
      </c>
      <c r="M64" s="64">
        <v>11.4</v>
      </c>
      <c r="N64" s="64">
        <v>11.4</v>
      </c>
      <c r="O64" s="64">
        <v>11.4</v>
      </c>
      <c r="P64" s="64">
        <v>11.4</v>
      </c>
      <c r="Q64" s="64">
        <v>11.4</v>
      </c>
      <c r="R64" s="64">
        <v>11.4</v>
      </c>
      <c r="S64" s="64">
        <v>11.4</v>
      </c>
      <c r="T64" s="64">
        <v>14.2</v>
      </c>
      <c r="U64" s="64">
        <v>14.4</v>
      </c>
      <c r="V64" s="64">
        <v>14.4</v>
      </c>
      <c r="W64" s="64">
        <v>14.4</v>
      </c>
      <c r="X64" s="64">
        <v>14.4</v>
      </c>
      <c r="Y64" s="64">
        <v>14.4</v>
      </c>
      <c r="Z64" s="64">
        <v>14.4</v>
      </c>
      <c r="AA64" s="64">
        <v>14.4</v>
      </c>
      <c r="AB64" s="64">
        <v>14.4</v>
      </c>
      <c r="AC64" s="64">
        <v>14.4</v>
      </c>
      <c r="AD64" s="64">
        <v>14.3</v>
      </c>
      <c r="AE64" s="64">
        <v>14.3</v>
      </c>
      <c r="AF64" s="64">
        <v>14.3</v>
      </c>
      <c r="AG64" s="54">
        <v>14</v>
      </c>
      <c r="AH64" s="47">
        <f t="shared" si="2"/>
        <v>14.4</v>
      </c>
      <c r="AI64" s="48">
        <f t="shared" si="3"/>
        <v>11.4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/>
      <c r="I65" s="64"/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/>
      <c r="I66" s="64"/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/>
      <c r="I67" s="71"/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C68" si="19">SUM(B55:B67)</f>
        <v>381.94</v>
      </c>
      <c r="C68" s="60">
        <f t="shared" si="19"/>
        <v>396.44</v>
      </c>
      <c r="D68" s="60">
        <f t="shared" ref="D68:E68" si="20">SUM(D55:D67)</f>
        <v>393.84</v>
      </c>
      <c r="E68" s="60">
        <f t="shared" si="20"/>
        <v>375.34</v>
      </c>
      <c r="F68" s="60">
        <f t="shared" ref="F68:G68" si="21">SUM(F55:F67)</f>
        <v>375.74</v>
      </c>
      <c r="G68" s="60">
        <f t="shared" si="21"/>
        <v>384.74</v>
      </c>
      <c r="H68" s="60">
        <f t="shared" ref="H68:J68" si="22">SUM(H55:H67)</f>
        <v>0</v>
      </c>
      <c r="I68" s="60">
        <f t="shared" si="22"/>
        <v>0</v>
      </c>
      <c r="J68" s="60">
        <f t="shared" si="22"/>
        <v>413.53999999999996</v>
      </c>
      <c r="K68" s="60">
        <f t="shared" ref="K68:L68" si="23">SUM(K55:K67)</f>
        <v>413.53999999999996</v>
      </c>
      <c r="L68" s="60">
        <f t="shared" si="23"/>
        <v>413.53999999999996</v>
      </c>
      <c r="M68" s="60">
        <f t="shared" ref="M68:AG68" si="24">SUM(M55:M67)</f>
        <v>432.23999999999995</v>
      </c>
      <c r="N68" s="60">
        <f t="shared" si="24"/>
        <v>438.23999999999995</v>
      </c>
      <c r="O68" s="60">
        <f t="shared" si="24"/>
        <v>438.14</v>
      </c>
      <c r="P68" s="60">
        <f t="shared" si="24"/>
        <v>438.14</v>
      </c>
      <c r="Q68" s="60">
        <f t="shared" si="24"/>
        <v>444.34</v>
      </c>
      <c r="R68" s="60">
        <f t="shared" si="24"/>
        <v>441.34</v>
      </c>
      <c r="S68" s="60">
        <f t="shared" si="24"/>
        <v>435.23999999999995</v>
      </c>
      <c r="T68" s="60">
        <f t="shared" si="24"/>
        <v>437.53999999999996</v>
      </c>
      <c r="U68" s="60">
        <f t="shared" si="24"/>
        <v>421.64</v>
      </c>
      <c r="V68" s="60">
        <f t="shared" si="24"/>
        <v>412.34</v>
      </c>
      <c r="W68" s="60">
        <f t="shared" si="24"/>
        <v>419.14</v>
      </c>
      <c r="X68" s="60">
        <f t="shared" si="24"/>
        <v>419.14</v>
      </c>
      <c r="Y68" s="60">
        <f t="shared" si="24"/>
        <v>420.14</v>
      </c>
      <c r="Z68" s="60">
        <f t="shared" si="24"/>
        <v>431.14</v>
      </c>
      <c r="AA68" s="60">
        <f t="shared" si="24"/>
        <v>431.14</v>
      </c>
      <c r="AB68" s="60">
        <f t="shared" si="24"/>
        <v>433.53999999999996</v>
      </c>
      <c r="AC68" s="60">
        <f t="shared" si="24"/>
        <v>434.13999999999993</v>
      </c>
      <c r="AD68" s="60">
        <f t="shared" si="24"/>
        <v>433.44</v>
      </c>
      <c r="AE68" s="60">
        <f t="shared" ref="AE68:AF68" si="25">SUM(AE55:AE67)</f>
        <v>396.54</v>
      </c>
      <c r="AF68" s="60">
        <f t="shared" si="25"/>
        <v>410.84000000000003</v>
      </c>
      <c r="AG68" s="61">
        <f t="shared" si="24"/>
        <v>489.91</v>
      </c>
      <c r="AH68" s="47">
        <f t="shared" si="2"/>
        <v>444.34</v>
      </c>
      <c r="AI68" s="48">
        <f t="shared" si="3"/>
        <v>0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28.9</v>
      </c>
      <c r="N69" s="45">
        <v>13.9</v>
      </c>
      <c r="O69" s="45">
        <v>13.9</v>
      </c>
      <c r="P69" s="45">
        <v>13.7</v>
      </c>
      <c r="Q69" s="45">
        <v>9.9</v>
      </c>
      <c r="R69" s="45">
        <v>0</v>
      </c>
      <c r="S69" s="45"/>
      <c r="T69" s="45"/>
      <c r="U69" s="45">
        <v>0</v>
      </c>
      <c r="V69" s="45"/>
      <c r="W69" s="45"/>
      <c r="X69" s="45">
        <v>30</v>
      </c>
      <c r="Y69" s="45">
        <v>59.5</v>
      </c>
      <c r="Z69" s="45">
        <v>48.6</v>
      </c>
      <c r="AA69" s="45">
        <v>20.5</v>
      </c>
      <c r="AB69" s="45">
        <v>13.8</v>
      </c>
      <c r="AC69" s="45">
        <v>10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59.5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14.2</v>
      </c>
      <c r="N70" s="45">
        <v>5.9</v>
      </c>
      <c r="O70" s="64">
        <v>6.5</v>
      </c>
      <c r="P70" s="64">
        <v>4.7</v>
      </c>
      <c r="Q70" s="64">
        <v>4.9000000000000004</v>
      </c>
      <c r="R70" s="64">
        <v>0</v>
      </c>
      <c r="S70" s="64">
        <v>5.4</v>
      </c>
      <c r="T70" s="64"/>
      <c r="U70" s="64">
        <v>4.8</v>
      </c>
      <c r="V70" s="64"/>
      <c r="W70" s="64"/>
      <c r="X70" s="64">
        <v>0</v>
      </c>
      <c r="Y70" s="64">
        <v>28.1</v>
      </c>
      <c r="Z70" s="64">
        <v>25</v>
      </c>
      <c r="AA70" s="64">
        <v>11.1</v>
      </c>
      <c r="AB70" s="64">
        <v>5.9</v>
      </c>
      <c r="AC70" s="64">
        <v>4.0999999999999996</v>
      </c>
      <c r="AD70" s="64">
        <v>6.8</v>
      </c>
      <c r="AE70" s="64">
        <v>0</v>
      </c>
      <c r="AF70" s="64">
        <v>0</v>
      </c>
      <c r="AG70" s="54">
        <v>32</v>
      </c>
      <c r="AH70" s="47">
        <f t="shared" si="2"/>
        <v>28.1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5.2</v>
      </c>
      <c r="N71" s="45">
        <v>2.2000000000000002</v>
      </c>
      <c r="O71" s="66">
        <v>2.4</v>
      </c>
      <c r="P71" s="66">
        <v>1.7</v>
      </c>
      <c r="Q71" s="66">
        <v>1.8</v>
      </c>
      <c r="R71" s="66">
        <v>0</v>
      </c>
      <c r="S71" s="66">
        <v>2</v>
      </c>
      <c r="T71" s="66"/>
      <c r="U71" s="66">
        <v>1.7</v>
      </c>
      <c r="V71" s="66"/>
      <c r="W71" s="66"/>
      <c r="X71" s="66">
        <v>0</v>
      </c>
      <c r="Y71" s="66">
        <v>10.3</v>
      </c>
      <c r="Z71" s="66">
        <v>9.1</v>
      </c>
      <c r="AA71" s="66">
        <v>4</v>
      </c>
      <c r="AB71" s="66">
        <v>2.1</v>
      </c>
      <c r="AC71" s="66">
        <v>1.5</v>
      </c>
      <c r="AD71" s="66">
        <v>2.5</v>
      </c>
      <c r="AE71" s="66">
        <v>0</v>
      </c>
      <c r="AF71" s="66">
        <v>0</v>
      </c>
      <c r="AG71" s="67">
        <v>14</v>
      </c>
      <c r="AH71" s="47">
        <f t="shared" si="2"/>
        <v>10.3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 t="shared" ref="B72:C72" si="26">B69+B70+B71</f>
        <v>0</v>
      </c>
      <c r="C72" s="60">
        <f t="shared" si="26"/>
        <v>0</v>
      </c>
      <c r="D72" s="60">
        <f t="shared" ref="D72:E72" si="27">D69+D70+D71</f>
        <v>0</v>
      </c>
      <c r="E72" s="60">
        <f t="shared" si="27"/>
        <v>0</v>
      </c>
      <c r="F72" s="60">
        <f t="shared" ref="F72:G72" si="28">F69+F70+F71</f>
        <v>0</v>
      </c>
      <c r="G72" s="60">
        <f t="shared" si="28"/>
        <v>0</v>
      </c>
      <c r="H72" s="60">
        <v>0</v>
      </c>
      <c r="I72" s="60">
        <v>1</v>
      </c>
      <c r="J72" s="60">
        <v>1</v>
      </c>
      <c r="K72" s="60">
        <v>1</v>
      </c>
      <c r="L72" s="60">
        <v>1</v>
      </c>
      <c r="M72" s="60">
        <f t="shared" ref="M72:AD72" si="29">M69+M70+M71</f>
        <v>48.3</v>
      </c>
      <c r="N72" s="60">
        <f t="shared" si="29"/>
        <v>22</v>
      </c>
      <c r="O72" s="60">
        <f t="shared" si="29"/>
        <v>22.799999999999997</v>
      </c>
      <c r="P72" s="60">
        <f t="shared" si="29"/>
        <v>20.099999999999998</v>
      </c>
      <c r="Q72" s="60">
        <f t="shared" si="29"/>
        <v>16.600000000000001</v>
      </c>
      <c r="R72" s="60">
        <f t="shared" si="29"/>
        <v>0</v>
      </c>
      <c r="S72" s="60">
        <f t="shared" si="29"/>
        <v>7.4</v>
      </c>
      <c r="T72" s="60">
        <f t="shared" si="29"/>
        <v>0</v>
      </c>
      <c r="U72" s="60">
        <f t="shared" si="29"/>
        <v>6.5</v>
      </c>
      <c r="V72" s="60">
        <f t="shared" si="29"/>
        <v>0</v>
      </c>
      <c r="W72" s="60">
        <f t="shared" si="29"/>
        <v>0</v>
      </c>
      <c r="X72" s="60">
        <f t="shared" si="29"/>
        <v>30</v>
      </c>
      <c r="Y72" s="60">
        <f t="shared" si="29"/>
        <v>97.899999999999991</v>
      </c>
      <c r="Z72" s="60">
        <f t="shared" si="29"/>
        <v>82.699999999999989</v>
      </c>
      <c r="AA72" s="60">
        <f t="shared" si="29"/>
        <v>35.6</v>
      </c>
      <c r="AB72" s="60">
        <f t="shared" si="29"/>
        <v>21.800000000000004</v>
      </c>
      <c r="AC72" s="60">
        <f t="shared" si="29"/>
        <v>15.6</v>
      </c>
      <c r="AD72" s="60">
        <f t="shared" si="29"/>
        <v>9.3000000000000007</v>
      </c>
      <c r="AE72" s="60">
        <f t="shared" ref="AE72:AF72" si="30">AE69+AE70+AE71</f>
        <v>0</v>
      </c>
      <c r="AF72" s="60">
        <f t="shared" si="30"/>
        <v>0</v>
      </c>
      <c r="AG72" s="61">
        <f>SUM(AG69:AG71)</f>
        <v>106</v>
      </c>
      <c r="AH72" s="47">
        <f t="shared" si="2"/>
        <v>97.899999999999991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-65</v>
      </c>
      <c r="C73" s="45">
        <v>-71</v>
      </c>
      <c r="D73" s="45">
        <v>-73</v>
      </c>
      <c r="E73" s="45">
        <v>-72.8</v>
      </c>
      <c r="F73" s="45">
        <v>-71.5</v>
      </c>
      <c r="G73" s="45">
        <v>-72.599999999999994</v>
      </c>
      <c r="H73" s="45"/>
      <c r="I73" s="45">
        <v>-71.3</v>
      </c>
      <c r="J73" s="45">
        <v>-71.3</v>
      </c>
      <c r="K73" s="45">
        <v>-70.7</v>
      </c>
      <c r="L73" s="45">
        <v>-65</v>
      </c>
      <c r="M73" s="45">
        <v>-64.2</v>
      </c>
      <c r="N73" s="45">
        <v>-63.1</v>
      </c>
      <c r="O73" s="45">
        <v>-67.2</v>
      </c>
      <c r="P73" s="45">
        <v>-69.900000000000006</v>
      </c>
      <c r="Q73" s="45">
        <v>-67.8</v>
      </c>
      <c r="R73" s="45">
        <v>-71</v>
      </c>
      <c r="S73" s="45">
        <v>-65.2</v>
      </c>
      <c r="T73" s="45">
        <v>-63.4</v>
      </c>
      <c r="U73" s="45">
        <v>-57.5</v>
      </c>
      <c r="V73" s="45">
        <v>-57.6</v>
      </c>
      <c r="W73" s="45">
        <v>-61.4</v>
      </c>
      <c r="X73" s="45">
        <v>-60.7</v>
      </c>
      <c r="Y73" s="45">
        <v>-24.4</v>
      </c>
      <c r="Z73" s="45">
        <v>-38.4</v>
      </c>
      <c r="AA73" s="45">
        <v>1.8</v>
      </c>
      <c r="AB73" s="45">
        <v>-46.3</v>
      </c>
      <c r="AC73" s="45">
        <v>-48.3</v>
      </c>
      <c r="AD73" s="45">
        <v>-50.7</v>
      </c>
      <c r="AE73" s="45">
        <v>-49.8</v>
      </c>
      <c r="AF73" s="45">
        <v>-60.2</v>
      </c>
      <c r="AG73" s="51"/>
      <c r="AH73" s="47">
        <f t="shared" si="2"/>
        <v>1.8</v>
      </c>
      <c r="AI73" s="48">
        <f t="shared" si="3"/>
        <v>-73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-540</v>
      </c>
      <c r="C75" s="64">
        <v>-600</v>
      </c>
      <c r="D75" s="64">
        <v>-578</v>
      </c>
      <c r="E75" s="64">
        <v>-598.20000000000005</v>
      </c>
      <c r="F75" s="64">
        <v>-611.79999999999995</v>
      </c>
      <c r="G75" s="64">
        <v>-615.79999999999995</v>
      </c>
      <c r="H75" s="64"/>
      <c r="I75" s="64">
        <v>-532</v>
      </c>
      <c r="J75" s="64">
        <v>-532</v>
      </c>
      <c r="K75" s="64">
        <v>-569.20000000000005</v>
      </c>
      <c r="L75" s="64">
        <v>-522</v>
      </c>
      <c r="M75" s="64">
        <v>-562.9</v>
      </c>
      <c r="N75" s="64">
        <v>-582.9</v>
      </c>
      <c r="O75" s="64">
        <v>-578.79999999999995</v>
      </c>
      <c r="P75" s="64">
        <v>-597</v>
      </c>
      <c r="Q75" s="64">
        <v>-631</v>
      </c>
      <c r="R75" s="64">
        <v>-594.4</v>
      </c>
      <c r="S75" s="64">
        <v>-614</v>
      </c>
      <c r="T75" s="64">
        <v>-565.20000000000005</v>
      </c>
      <c r="U75" s="64">
        <v>-625.29999999999995</v>
      </c>
      <c r="V75" s="64">
        <v>-636</v>
      </c>
      <c r="W75" s="64">
        <v>-612.4</v>
      </c>
      <c r="X75" s="64">
        <v>-531.6</v>
      </c>
      <c r="Y75" s="64">
        <v>-522</v>
      </c>
      <c r="Z75" s="64">
        <v>-555.6</v>
      </c>
      <c r="AA75" s="64">
        <v>-566</v>
      </c>
      <c r="AB75" s="64">
        <v>-578.79999999999995</v>
      </c>
      <c r="AC75" s="64">
        <v>-578.9</v>
      </c>
      <c r="AD75" s="64">
        <v>-600</v>
      </c>
      <c r="AE75" s="64">
        <v>-607</v>
      </c>
      <c r="AF75" s="64">
        <v>-561.79999999999995</v>
      </c>
      <c r="AG75" s="74"/>
      <c r="AH75" s="47">
        <f t="shared" si="2"/>
        <v>-522</v>
      </c>
      <c r="AI75" s="48">
        <f t="shared" si="3"/>
        <v>-636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75"/>
      <c r="I76" s="75"/>
      <c r="J76" s="75"/>
      <c r="K76" s="75"/>
      <c r="L76" s="75"/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64"/>
      <c r="AF76" s="64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64"/>
      <c r="F77" s="64"/>
      <c r="G77" s="64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31">MAX(B77:AF77)</f>
        <v>0</v>
      </c>
      <c r="AI77" s="48">
        <f t="shared" ref="AI77:AI120" si="32">MIN(B77:AF77)</f>
        <v>0</v>
      </c>
      <c r="AK77" s="50"/>
    </row>
    <row r="78" spans="1:40" x14ac:dyDescent="0.25">
      <c r="A78" s="53" t="s">
        <v>86</v>
      </c>
      <c r="B78" s="45"/>
      <c r="C78" s="45"/>
      <c r="D78" s="64"/>
      <c r="E78" s="64"/>
      <c r="F78" s="64"/>
      <c r="G78" s="64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31"/>
        <v>0</v>
      </c>
      <c r="AI78" s="48">
        <f t="shared" si="32"/>
        <v>0</v>
      </c>
      <c r="AK78" s="50"/>
    </row>
    <row r="79" spans="1:40" ht="15.75" thickBot="1" x14ac:dyDescent="0.3">
      <c r="A79" s="53" t="s">
        <v>87</v>
      </c>
      <c r="B79" s="45"/>
      <c r="C79" s="45"/>
      <c r="D79" s="64"/>
      <c r="E79" s="64"/>
      <c r="F79" s="64"/>
      <c r="G79" s="64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31"/>
        <v>0</v>
      </c>
      <c r="AI79" s="48">
        <f t="shared" si="32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45"/>
      <c r="D80" s="64"/>
      <c r="E80" s="64"/>
      <c r="F80" s="64"/>
      <c r="G80" s="64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31"/>
        <v>0</v>
      </c>
      <c r="AI80" s="48">
        <f t="shared" si="32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45"/>
      <c r="D81" s="64"/>
      <c r="E81" s="64"/>
      <c r="F81" s="64"/>
      <c r="G81" s="64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31"/>
        <v>0</v>
      </c>
      <c r="AI81" s="48">
        <f t="shared" si="32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45"/>
      <c r="D82" s="64"/>
      <c r="E82" s="64"/>
      <c r="F82" s="64"/>
      <c r="G82" s="64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31"/>
        <v>0</v>
      </c>
      <c r="AI82" s="48">
        <f t="shared" si="32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45"/>
      <c r="D83" s="64"/>
      <c r="E83" s="64"/>
      <c r="F83" s="64"/>
      <c r="G83" s="64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31"/>
        <v>0</v>
      </c>
      <c r="AI83" s="48">
        <f t="shared" si="32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C84" si="33">SUMIF(B73:B83,"&gt;0")</f>
        <v>0</v>
      </c>
      <c r="C84" s="60">
        <f t="shared" si="33"/>
        <v>0</v>
      </c>
      <c r="D84" s="60">
        <f t="shared" ref="D84:AD84" si="34">SUMIF(D73:D83,"&gt;0")</f>
        <v>0</v>
      </c>
      <c r="E84" s="60">
        <f t="shared" ref="E84:F84" si="35">SUMIF(E73:E83,"&gt;0")</f>
        <v>0</v>
      </c>
      <c r="F84" s="60">
        <f t="shared" si="35"/>
        <v>0</v>
      </c>
      <c r="G84" s="60">
        <f t="shared" ref="G84" si="36">SUMIF(G73:G83,"&gt;0")</f>
        <v>0</v>
      </c>
      <c r="H84" s="60">
        <f t="shared" si="34"/>
        <v>0</v>
      </c>
      <c r="I84" s="60">
        <f t="shared" ref="I84:J84" si="37">SUMIF(I73:I83,"&gt;0")</f>
        <v>0</v>
      </c>
      <c r="J84" s="60">
        <f t="shared" si="37"/>
        <v>0</v>
      </c>
      <c r="K84" s="60">
        <f t="shared" ref="K84:L84" si="38">SUMIF(K73:K83,"&gt;0")</f>
        <v>0</v>
      </c>
      <c r="L84" s="60">
        <f t="shared" si="38"/>
        <v>0</v>
      </c>
      <c r="M84" s="60">
        <f>SUMIF(M73:M83,"&gt;0")</f>
        <v>0</v>
      </c>
      <c r="N84" s="60">
        <f t="shared" si="34"/>
        <v>0</v>
      </c>
      <c r="O84" s="60">
        <f t="shared" si="34"/>
        <v>0</v>
      </c>
      <c r="P84" s="60">
        <f t="shared" si="34"/>
        <v>0</v>
      </c>
      <c r="Q84" s="60">
        <f t="shared" si="34"/>
        <v>0</v>
      </c>
      <c r="R84" s="60">
        <f t="shared" si="34"/>
        <v>0</v>
      </c>
      <c r="S84" s="60">
        <f t="shared" si="34"/>
        <v>0</v>
      </c>
      <c r="T84" s="60">
        <f t="shared" si="34"/>
        <v>0</v>
      </c>
      <c r="U84" s="60">
        <f t="shared" si="34"/>
        <v>0</v>
      </c>
      <c r="V84" s="60">
        <f t="shared" si="34"/>
        <v>0</v>
      </c>
      <c r="W84" s="60">
        <f t="shared" si="34"/>
        <v>0</v>
      </c>
      <c r="X84" s="60">
        <f t="shared" si="34"/>
        <v>0</v>
      </c>
      <c r="Y84" s="60">
        <f t="shared" si="34"/>
        <v>0</v>
      </c>
      <c r="Z84" s="60">
        <f t="shared" si="34"/>
        <v>0</v>
      </c>
      <c r="AA84" s="60">
        <f t="shared" si="34"/>
        <v>1.8</v>
      </c>
      <c r="AB84" s="60">
        <f t="shared" si="34"/>
        <v>0</v>
      </c>
      <c r="AC84" s="60">
        <f t="shared" si="34"/>
        <v>0</v>
      </c>
      <c r="AD84" s="60">
        <f t="shared" si="34"/>
        <v>0</v>
      </c>
      <c r="AE84" s="60">
        <f t="shared" ref="AE84:AF84" si="39">SUMIF(AE73:AE83,"&gt;0")</f>
        <v>0</v>
      </c>
      <c r="AF84" s="60">
        <f t="shared" si="39"/>
        <v>0</v>
      </c>
      <c r="AG84" s="87">
        <f>SUM(AG73:AG83)</f>
        <v>0</v>
      </c>
      <c r="AH84" s="47">
        <f t="shared" si="31"/>
        <v>1.8</v>
      </c>
      <c r="AI84" s="48">
        <f t="shared" si="32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31"/>
        <v>0</v>
      </c>
      <c r="AI85" s="48">
        <f t="shared" si="32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31"/>
        <v>0</v>
      </c>
      <c r="AI86" s="48">
        <f t="shared" si="32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31"/>
        <v>0</v>
      </c>
      <c r="AI87" s="48">
        <f t="shared" si="32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31"/>
        <v>0</v>
      </c>
      <c r="AI88" s="48">
        <f t="shared" si="32"/>
        <v>0</v>
      </c>
    </row>
    <row r="89" spans="1:40" ht="15.75" thickBot="1" x14ac:dyDescent="0.3">
      <c r="A89" s="73" t="s">
        <v>100</v>
      </c>
      <c r="B89" s="94">
        <f t="shared" ref="B89:C89" si="40">B50+B54+B72+B68+B84+B88</f>
        <v>1987.74</v>
      </c>
      <c r="C89" s="94">
        <f t="shared" si="40"/>
        <v>2061.2399999999998</v>
      </c>
      <c r="D89" s="94">
        <f t="shared" ref="D89:AG89" si="41">D50+D54+D72+D68+D84+D88</f>
        <v>2053.64</v>
      </c>
      <c r="E89" s="94">
        <f t="shared" ref="E89:F89" si="42">E50+E54+E72+E68+E84+E88</f>
        <v>2037.4399999999998</v>
      </c>
      <c r="F89" s="94">
        <f t="shared" si="42"/>
        <v>2037.34</v>
      </c>
      <c r="G89" s="94">
        <f t="shared" ref="G89" si="43">G50+G54+G72+G68+G84+G88</f>
        <v>2047.64</v>
      </c>
      <c r="H89" s="94">
        <f t="shared" si="41"/>
        <v>0</v>
      </c>
      <c r="I89" s="94">
        <f t="shared" ref="I89:J89" si="44">I50+I54+I72+I68+I84+I88</f>
        <v>1</v>
      </c>
      <c r="J89" s="94">
        <f t="shared" si="44"/>
        <v>2032.24</v>
      </c>
      <c r="K89" s="94">
        <f t="shared" ref="K89:L89" si="45">K50+K54+K72+K68+K84+K88</f>
        <v>2122.2399999999998</v>
      </c>
      <c r="L89" s="94">
        <f t="shared" si="45"/>
        <v>2045.24</v>
      </c>
      <c r="M89" s="94">
        <f t="shared" si="41"/>
        <v>2145.94</v>
      </c>
      <c r="N89" s="94">
        <f t="shared" si="41"/>
        <v>2204.64</v>
      </c>
      <c r="O89" s="94">
        <f t="shared" si="41"/>
        <v>2207.14</v>
      </c>
      <c r="P89" s="94">
        <f t="shared" si="41"/>
        <v>2203.4399999999996</v>
      </c>
      <c r="Q89" s="94">
        <f t="shared" si="41"/>
        <v>2188.2399999999998</v>
      </c>
      <c r="R89" s="94">
        <f t="shared" si="41"/>
        <v>2162.54</v>
      </c>
      <c r="S89" s="94">
        <f t="shared" si="41"/>
        <v>2155.54</v>
      </c>
      <c r="T89" s="94">
        <f t="shared" si="41"/>
        <v>2149.44</v>
      </c>
      <c r="U89" s="94">
        <f t="shared" si="41"/>
        <v>2140.34</v>
      </c>
      <c r="V89" s="94">
        <f t="shared" si="41"/>
        <v>2119.7400000000002</v>
      </c>
      <c r="W89" s="94">
        <f t="shared" si="41"/>
        <v>2126.54</v>
      </c>
      <c r="X89" s="94">
        <f t="shared" si="41"/>
        <v>2216.64</v>
      </c>
      <c r="Y89" s="94">
        <f t="shared" si="41"/>
        <v>2278.84</v>
      </c>
      <c r="Z89" s="94">
        <f t="shared" si="41"/>
        <v>2280.44</v>
      </c>
      <c r="AA89" s="94">
        <f t="shared" si="41"/>
        <v>2211.14</v>
      </c>
      <c r="AB89" s="94">
        <f t="shared" si="41"/>
        <v>2196.84</v>
      </c>
      <c r="AC89" s="94">
        <f t="shared" si="41"/>
        <v>2191.2399999999998</v>
      </c>
      <c r="AD89" s="94">
        <f t="shared" si="41"/>
        <v>2164.9399999999996</v>
      </c>
      <c r="AE89" s="94">
        <f t="shared" ref="AE89:AF89" si="46">AE50+AE54+AE72+AE68+AE84+AE88</f>
        <v>2085.7399999999998</v>
      </c>
      <c r="AF89" s="94">
        <f t="shared" si="46"/>
        <v>2064.34</v>
      </c>
      <c r="AG89" s="61">
        <f t="shared" si="41"/>
        <v>2111.5500000000002</v>
      </c>
      <c r="AH89" s="47">
        <f t="shared" si="31"/>
        <v>2280.44</v>
      </c>
      <c r="AI89" s="48">
        <f t="shared" si="32"/>
        <v>0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31"/>
        <v>0</v>
      </c>
      <c r="AI90" s="48">
        <f t="shared" si="32"/>
        <v>0</v>
      </c>
    </row>
    <row r="91" spans="1:40" ht="15.75" thickBot="1" x14ac:dyDescent="0.3">
      <c r="A91" s="73" t="s">
        <v>102</v>
      </c>
      <c r="B91" s="94">
        <f t="shared" ref="B91:C91" si="47">B89+B90</f>
        <v>1987.74</v>
      </c>
      <c r="C91" s="94">
        <f t="shared" si="47"/>
        <v>2061.2399999999998</v>
      </c>
      <c r="D91" s="94">
        <f t="shared" ref="D91:AE91" si="48">D89+D90</f>
        <v>2053.64</v>
      </c>
      <c r="E91" s="94">
        <f t="shared" ref="E91:F91" si="49">E89+E90</f>
        <v>2037.4399999999998</v>
      </c>
      <c r="F91" s="94">
        <f t="shared" si="49"/>
        <v>2037.34</v>
      </c>
      <c r="G91" s="94">
        <f t="shared" ref="G91" si="50">G89+G90</f>
        <v>2047.64</v>
      </c>
      <c r="H91" s="94">
        <f t="shared" si="48"/>
        <v>0</v>
      </c>
      <c r="I91" s="94">
        <f t="shared" ref="I91:J91" si="51">I89+I90</f>
        <v>1</v>
      </c>
      <c r="J91" s="94">
        <f t="shared" si="51"/>
        <v>2032.24</v>
      </c>
      <c r="K91" s="94">
        <f t="shared" ref="K91:L91" si="52">K89+K90</f>
        <v>2122.2399999999998</v>
      </c>
      <c r="L91" s="94">
        <f t="shared" si="52"/>
        <v>2045.24</v>
      </c>
      <c r="M91" s="94">
        <f t="shared" si="48"/>
        <v>2145.94</v>
      </c>
      <c r="N91" s="94">
        <f t="shared" si="48"/>
        <v>2204.64</v>
      </c>
      <c r="O91" s="94">
        <f t="shared" si="48"/>
        <v>2207.14</v>
      </c>
      <c r="P91" s="94">
        <f t="shared" si="48"/>
        <v>2203.4399999999996</v>
      </c>
      <c r="Q91" s="94">
        <f t="shared" si="48"/>
        <v>2188.2399999999998</v>
      </c>
      <c r="R91" s="94">
        <f t="shared" si="48"/>
        <v>2162.54</v>
      </c>
      <c r="S91" s="94">
        <f t="shared" si="48"/>
        <v>2155.54</v>
      </c>
      <c r="T91" s="94">
        <f t="shared" si="48"/>
        <v>2149.44</v>
      </c>
      <c r="U91" s="94">
        <f t="shared" si="48"/>
        <v>2140.34</v>
      </c>
      <c r="V91" s="94">
        <f t="shared" si="48"/>
        <v>2119.7400000000002</v>
      </c>
      <c r="W91" s="94">
        <f t="shared" si="48"/>
        <v>2126.54</v>
      </c>
      <c r="X91" s="94">
        <f t="shared" si="48"/>
        <v>2216.64</v>
      </c>
      <c r="Y91" s="94">
        <f t="shared" si="48"/>
        <v>2278.84</v>
      </c>
      <c r="Z91" s="94">
        <f t="shared" si="48"/>
        <v>2280.44</v>
      </c>
      <c r="AA91" s="94">
        <f t="shared" si="48"/>
        <v>2211.14</v>
      </c>
      <c r="AB91" s="94">
        <f t="shared" si="48"/>
        <v>2196.84</v>
      </c>
      <c r="AC91" s="94">
        <f t="shared" si="48"/>
        <v>2191.2399999999998</v>
      </c>
      <c r="AD91" s="94">
        <f t="shared" si="48"/>
        <v>2164.9399999999996</v>
      </c>
      <c r="AE91" s="94">
        <f t="shared" si="48"/>
        <v>2085.7399999999998</v>
      </c>
      <c r="AF91" s="94">
        <f t="shared" ref="AF91" si="53">AF89+AF90</f>
        <v>2064.34</v>
      </c>
      <c r="AG91" s="87">
        <f>AG88+AG84+AG72+AG68+AG50+AG90</f>
        <v>1573.45</v>
      </c>
      <c r="AH91" s="47">
        <f t="shared" si="31"/>
        <v>2280.44</v>
      </c>
      <c r="AI91" s="48">
        <f t="shared" si="32"/>
        <v>0</v>
      </c>
    </row>
    <row r="92" spans="1:40" ht="15.75" thickBot="1" x14ac:dyDescent="0.3">
      <c r="A92" s="73" t="s">
        <v>103</v>
      </c>
      <c r="B92" s="94">
        <f t="shared" ref="B92:C92" si="54">B91-(-B99)</f>
        <v>1447.74</v>
      </c>
      <c r="C92" s="94">
        <f t="shared" si="54"/>
        <v>1461.2399999999998</v>
      </c>
      <c r="D92" s="94">
        <f t="shared" ref="D92:AE92" si="55">D91-(-D99)</f>
        <v>1475.6399999999999</v>
      </c>
      <c r="E92" s="94">
        <f t="shared" ref="E92:F92" si="56">E91-(-E99)</f>
        <v>1439.2399999999998</v>
      </c>
      <c r="F92" s="94">
        <f t="shared" si="56"/>
        <v>1425.54</v>
      </c>
      <c r="G92" s="94">
        <f t="shared" ref="G92" si="57">G91-(-G99)</f>
        <v>1431.8400000000001</v>
      </c>
      <c r="H92" s="94">
        <f t="shared" si="55"/>
        <v>0</v>
      </c>
      <c r="I92" s="94">
        <f t="shared" ref="I92:J92" si="58">I91-(-I99)</f>
        <v>-531</v>
      </c>
      <c r="J92" s="94">
        <f t="shared" si="58"/>
        <v>1500.24</v>
      </c>
      <c r="K92" s="94">
        <f t="shared" ref="K92:L92" si="59">K91-(-K99)</f>
        <v>1553.0399999999997</v>
      </c>
      <c r="L92" s="94">
        <f t="shared" si="59"/>
        <v>1523.24</v>
      </c>
      <c r="M92" s="94">
        <f t="shared" si="55"/>
        <v>1583.04</v>
      </c>
      <c r="N92" s="94">
        <f t="shared" si="55"/>
        <v>1621.7399999999998</v>
      </c>
      <c r="O92" s="94">
        <f t="shared" si="55"/>
        <v>1628.34</v>
      </c>
      <c r="P92" s="94">
        <f t="shared" si="55"/>
        <v>1606.4399999999996</v>
      </c>
      <c r="Q92" s="94">
        <f t="shared" si="55"/>
        <v>1557.2399999999998</v>
      </c>
      <c r="R92" s="94">
        <f t="shared" si="55"/>
        <v>1568.1399999999999</v>
      </c>
      <c r="S92" s="94">
        <f t="shared" si="55"/>
        <v>1541.54</v>
      </c>
      <c r="T92" s="94">
        <f t="shared" si="55"/>
        <v>1584.24</v>
      </c>
      <c r="U92" s="94">
        <f t="shared" si="55"/>
        <v>1515.0400000000002</v>
      </c>
      <c r="V92" s="94">
        <f t="shared" si="55"/>
        <v>1483.7400000000002</v>
      </c>
      <c r="W92" s="94">
        <f t="shared" si="55"/>
        <v>1514.1399999999999</v>
      </c>
      <c r="X92" s="94">
        <f t="shared" si="55"/>
        <v>1685.04</v>
      </c>
      <c r="Y92" s="94">
        <f t="shared" si="55"/>
        <v>1756.8400000000001</v>
      </c>
      <c r="Z92" s="94">
        <f t="shared" si="55"/>
        <v>1724.8400000000001</v>
      </c>
      <c r="AA92" s="94">
        <f t="shared" si="55"/>
        <v>1645.1399999999999</v>
      </c>
      <c r="AB92" s="94">
        <f t="shared" si="55"/>
        <v>1618.0400000000002</v>
      </c>
      <c r="AC92" s="94">
        <f t="shared" si="55"/>
        <v>1612.3399999999997</v>
      </c>
      <c r="AD92" s="94">
        <f t="shared" si="55"/>
        <v>1564.9399999999996</v>
      </c>
      <c r="AE92" s="94">
        <f t="shared" si="55"/>
        <v>1478.7399999999998</v>
      </c>
      <c r="AF92" s="94">
        <f t="shared" ref="AF92" si="60">AF91-(-AF99)</f>
        <v>1502.5400000000002</v>
      </c>
      <c r="AG92" s="87"/>
      <c r="AH92" s="47">
        <f t="shared" si="31"/>
        <v>1756.8400000000001</v>
      </c>
      <c r="AI92" s="48">
        <f t="shared" si="32"/>
        <v>-531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31"/>
        <v>0</v>
      </c>
      <c r="AI93" s="48">
        <f t="shared" si="32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31"/>
        <v>0</v>
      </c>
      <c r="AI94" s="48">
        <f t="shared" si="32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31"/>
        <v>0</v>
      </c>
      <c r="AI95" s="48">
        <f t="shared" si="32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31"/>
        <v>0</v>
      </c>
      <c r="AI96" s="48">
        <f t="shared" si="32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31"/>
        <v>0</v>
      </c>
      <c r="AI97" s="48">
        <f t="shared" si="32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31"/>
        <v>0</v>
      </c>
      <c r="AI98" s="48">
        <f t="shared" si="32"/>
        <v>0</v>
      </c>
    </row>
    <row r="99" spans="1:37" ht="15.75" thickBot="1" x14ac:dyDescent="0.3">
      <c r="A99" s="98" t="s">
        <v>107</v>
      </c>
      <c r="B99" s="60">
        <f t="shared" ref="B99:C99" si="61">B75</f>
        <v>-540</v>
      </c>
      <c r="C99" s="60">
        <f t="shared" si="61"/>
        <v>-600</v>
      </c>
      <c r="D99" s="60">
        <f t="shared" ref="D99:AE99" si="62">D75</f>
        <v>-578</v>
      </c>
      <c r="E99" s="60">
        <f t="shared" ref="E99:F99" si="63">E75</f>
        <v>-598.20000000000005</v>
      </c>
      <c r="F99" s="60">
        <f t="shared" si="63"/>
        <v>-611.79999999999995</v>
      </c>
      <c r="G99" s="60">
        <f t="shared" ref="G99" si="64">G75</f>
        <v>-615.79999999999995</v>
      </c>
      <c r="H99" s="60">
        <f t="shared" si="62"/>
        <v>0</v>
      </c>
      <c r="I99" s="60">
        <f t="shared" ref="I99:J99" si="65">I75</f>
        <v>-532</v>
      </c>
      <c r="J99" s="60">
        <f t="shared" si="65"/>
        <v>-532</v>
      </c>
      <c r="K99" s="60">
        <f t="shared" ref="K99:L99" si="66">K75</f>
        <v>-569.20000000000005</v>
      </c>
      <c r="L99" s="60">
        <f t="shared" si="66"/>
        <v>-522</v>
      </c>
      <c r="M99" s="60">
        <f t="shared" si="62"/>
        <v>-562.9</v>
      </c>
      <c r="N99" s="60">
        <f t="shared" si="62"/>
        <v>-582.9</v>
      </c>
      <c r="O99" s="60">
        <f t="shared" si="62"/>
        <v>-578.79999999999995</v>
      </c>
      <c r="P99" s="60">
        <f t="shared" si="62"/>
        <v>-597</v>
      </c>
      <c r="Q99" s="60">
        <f t="shared" si="62"/>
        <v>-631</v>
      </c>
      <c r="R99" s="60">
        <f t="shared" si="62"/>
        <v>-594.4</v>
      </c>
      <c r="S99" s="60">
        <f t="shared" si="62"/>
        <v>-614</v>
      </c>
      <c r="T99" s="60">
        <f t="shared" si="62"/>
        <v>-565.20000000000005</v>
      </c>
      <c r="U99" s="60">
        <f t="shared" si="62"/>
        <v>-625.29999999999995</v>
      </c>
      <c r="V99" s="60">
        <f t="shared" si="62"/>
        <v>-636</v>
      </c>
      <c r="W99" s="60">
        <f t="shared" si="62"/>
        <v>-612.4</v>
      </c>
      <c r="X99" s="60">
        <f t="shared" si="62"/>
        <v>-531.6</v>
      </c>
      <c r="Y99" s="60">
        <f t="shared" si="62"/>
        <v>-522</v>
      </c>
      <c r="Z99" s="60">
        <f t="shared" si="62"/>
        <v>-555.6</v>
      </c>
      <c r="AA99" s="60">
        <f t="shared" si="62"/>
        <v>-566</v>
      </c>
      <c r="AB99" s="60">
        <f t="shared" si="62"/>
        <v>-578.79999999999995</v>
      </c>
      <c r="AC99" s="60">
        <f t="shared" si="62"/>
        <v>-578.9</v>
      </c>
      <c r="AD99" s="60">
        <f t="shared" si="62"/>
        <v>-600</v>
      </c>
      <c r="AE99" s="60">
        <f t="shared" si="62"/>
        <v>-607</v>
      </c>
      <c r="AF99" s="60">
        <f t="shared" ref="AF99" si="67">AF75</f>
        <v>-561.79999999999995</v>
      </c>
      <c r="AG99" s="87"/>
      <c r="AH99" s="47">
        <f t="shared" si="31"/>
        <v>0</v>
      </c>
      <c r="AI99" s="48">
        <f t="shared" si="32"/>
        <v>-636</v>
      </c>
      <c r="AK99" s="50"/>
    </row>
    <row r="100" spans="1:37" ht="15.75" thickBot="1" x14ac:dyDescent="0.3">
      <c r="A100" s="73" t="s">
        <v>108</v>
      </c>
      <c r="B100" s="60">
        <f t="shared" ref="B100:C100" si="68">B84-B99</f>
        <v>540</v>
      </c>
      <c r="C100" s="60">
        <f t="shared" si="68"/>
        <v>600</v>
      </c>
      <c r="D100" s="60">
        <f t="shared" ref="D100:AE100" si="69">D84-D99</f>
        <v>578</v>
      </c>
      <c r="E100" s="60">
        <f t="shared" ref="E100:F100" si="70">E84-E99</f>
        <v>598.20000000000005</v>
      </c>
      <c r="F100" s="60">
        <f t="shared" si="70"/>
        <v>611.79999999999995</v>
      </c>
      <c r="G100" s="60">
        <f t="shared" ref="G100" si="71">G84-G99</f>
        <v>615.79999999999995</v>
      </c>
      <c r="H100" s="60">
        <f t="shared" si="69"/>
        <v>0</v>
      </c>
      <c r="I100" s="60">
        <f t="shared" ref="I100:J100" si="72">I84-I99</f>
        <v>532</v>
      </c>
      <c r="J100" s="60">
        <f t="shared" si="72"/>
        <v>532</v>
      </c>
      <c r="K100" s="60">
        <f t="shared" ref="K100:L100" si="73">K84-K99</f>
        <v>569.20000000000005</v>
      </c>
      <c r="L100" s="60">
        <f t="shared" si="73"/>
        <v>522</v>
      </c>
      <c r="M100" s="60">
        <f t="shared" si="69"/>
        <v>562.9</v>
      </c>
      <c r="N100" s="60">
        <f t="shared" si="69"/>
        <v>582.9</v>
      </c>
      <c r="O100" s="60">
        <f t="shared" si="69"/>
        <v>578.79999999999995</v>
      </c>
      <c r="P100" s="60">
        <f t="shared" si="69"/>
        <v>597</v>
      </c>
      <c r="Q100" s="60">
        <f t="shared" si="69"/>
        <v>631</v>
      </c>
      <c r="R100" s="60">
        <f t="shared" si="69"/>
        <v>594.4</v>
      </c>
      <c r="S100" s="60">
        <f t="shared" si="69"/>
        <v>614</v>
      </c>
      <c r="T100" s="60">
        <f t="shared" si="69"/>
        <v>565.20000000000005</v>
      </c>
      <c r="U100" s="60">
        <f t="shared" si="69"/>
        <v>625.29999999999995</v>
      </c>
      <c r="V100" s="60">
        <f t="shared" si="69"/>
        <v>636</v>
      </c>
      <c r="W100" s="60">
        <f t="shared" si="69"/>
        <v>612.4</v>
      </c>
      <c r="X100" s="60">
        <f t="shared" si="69"/>
        <v>531.6</v>
      </c>
      <c r="Y100" s="60">
        <f t="shared" si="69"/>
        <v>522</v>
      </c>
      <c r="Z100" s="60">
        <f t="shared" si="69"/>
        <v>555.6</v>
      </c>
      <c r="AA100" s="60">
        <f t="shared" si="69"/>
        <v>567.79999999999995</v>
      </c>
      <c r="AB100" s="60">
        <f t="shared" si="69"/>
        <v>578.79999999999995</v>
      </c>
      <c r="AC100" s="60">
        <f t="shared" si="69"/>
        <v>578.9</v>
      </c>
      <c r="AD100" s="60">
        <f t="shared" si="69"/>
        <v>600</v>
      </c>
      <c r="AE100" s="60">
        <f t="shared" si="69"/>
        <v>607</v>
      </c>
      <c r="AF100" s="60">
        <f t="shared" ref="AF100" si="74">AF84-AF99</f>
        <v>561.79999999999995</v>
      </c>
      <c r="AG100" s="87"/>
      <c r="AH100" s="47">
        <f t="shared" si="31"/>
        <v>636</v>
      </c>
      <c r="AI100" s="48">
        <f t="shared" si="32"/>
        <v>0</v>
      </c>
    </row>
    <row r="101" spans="1:37" x14ac:dyDescent="0.25">
      <c r="A101" s="99" t="s">
        <v>109</v>
      </c>
      <c r="B101" s="100">
        <v>50.01</v>
      </c>
      <c r="C101" s="100">
        <v>49.99</v>
      </c>
      <c r="D101" s="100">
        <v>50.04</v>
      </c>
      <c r="E101" s="100">
        <v>50.067</v>
      </c>
      <c r="F101" s="100">
        <v>50.037999999999997</v>
      </c>
      <c r="G101" s="100">
        <v>49.95</v>
      </c>
      <c r="H101" s="100"/>
      <c r="I101" s="100">
        <v>49.99</v>
      </c>
      <c r="J101" s="100">
        <v>49.99</v>
      </c>
      <c r="K101" s="100">
        <v>49.99</v>
      </c>
      <c r="L101" s="100">
        <v>49.99</v>
      </c>
      <c r="M101" s="100">
        <v>50.015999999999998</v>
      </c>
      <c r="N101" s="100">
        <v>50.061</v>
      </c>
      <c r="O101" s="100">
        <v>50.018000000000001</v>
      </c>
      <c r="P101" s="100">
        <v>50.052</v>
      </c>
      <c r="Q101" s="100">
        <v>49.981999999999999</v>
      </c>
      <c r="R101" s="100">
        <v>49.987000000000002</v>
      </c>
      <c r="S101" s="100">
        <v>50.003999999999998</v>
      </c>
      <c r="T101" s="100">
        <v>50.02</v>
      </c>
      <c r="U101" s="100">
        <v>49.95</v>
      </c>
      <c r="V101" s="100">
        <v>49.765999999999998</v>
      </c>
      <c r="W101" s="100">
        <v>49.948999999999998</v>
      </c>
      <c r="X101" s="100">
        <v>49.853000000000002</v>
      </c>
      <c r="Y101" s="100">
        <v>49.945999999999998</v>
      </c>
      <c r="Z101" s="100">
        <v>49.899000000000001</v>
      </c>
      <c r="AA101" s="100">
        <v>50.040999999999997</v>
      </c>
      <c r="AB101" s="100">
        <v>50.082999999999998</v>
      </c>
      <c r="AC101" s="100">
        <v>49.948</v>
      </c>
      <c r="AD101" s="100">
        <v>49.98</v>
      </c>
      <c r="AE101" s="100">
        <v>50.05</v>
      </c>
      <c r="AF101" s="100">
        <v>50.03</v>
      </c>
      <c r="AG101" s="101"/>
      <c r="AH101" s="47">
        <f t="shared" si="31"/>
        <v>50.082999999999998</v>
      </c>
      <c r="AI101" s="48">
        <f t="shared" si="32"/>
        <v>49.765999999999998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31"/>
        <v>0</v>
      </c>
      <c r="AI102" s="48">
        <f t="shared" si="32"/>
        <v>0</v>
      </c>
    </row>
    <row r="103" spans="1:37" x14ac:dyDescent="0.25">
      <c r="A103" s="102" t="s">
        <v>111</v>
      </c>
      <c r="B103" s="64">
        <v>130</v>
      </c>
      <c r="C103" s="64">
        <v>130</v>
      </c>
      <c r="D103" s="64">
        <v>129</v>
      </c>
      <c r="E103" s="64">
        <v>129.6</v>
      </c>
      <c r="F103" s="64">
        <v>129.6</v>
      </c>
      <c r="G103" s="64">
        <v>130</v>
      </c>
      <c r="H103" s="64"/>
      <c r="I103" s="64">
        <v>129</v>
      </c>
      <c r="J103" s="64">
        <v>129</v>
      </c>
      <c r="K103" s="64">
        <v>127.6</v>
      </c>
      <c r="L103" s="64">
        <v>127.6</v>
      </c>
      <c r="M103" s="64">
        <v>125.7</v>
      </c>
      <c r="N103" s="64">
        <v>126.6</v>
      </c>
      <c r="O103" s="64">
        <v>126.9</v>
      </c>
      <c r="P103" s="64">
        <v>124.9</v>
      </c>
      <c r="Q103" s="64">
        <v>125.3</v>
      </c>
      <c r="R103" s="64">
        <v>125</v>
      </c>
      <c r="S103" s="64">
        <v>126.8</v>
      </c>
      <c r="T103" s="64">
        <v>126.6</v>
      </c>
      <c r="U103" s="64">
        <v>126.1</v>
      </c>
      <c r="V103" s="64">
        <v>126.6</v>
      </c>
      <c r="W103" s="64">
        <v>127.7</v>
      </c>
      <c r="X103" s="64">
        <v>126.8</v>
      </c>
      <c r="Y103" s="64">
        <v>128.30000000000001</v>
      </c>
      <c r="Z103" s="64">
        <v>130</v>
      </c>
      <c r="AA103" s="64">
        <v>127.8</v>
      </c>
      <c r="AB103" s="64">
        <v>129.80000000000001</v>
      </c>
      <c r="AC103" s="64">
        <v>129</v>
      </c>
      <c r="AD103" s="64">
        <v>128.6</v>
      </c>
      <c r="AE103" s="64">
        <v>128.30000000000001</v>
      </c>
      <c r="AF103" s="64">
        <v>127.8</v>
      </c>
      <c r="AG103" s="103"/>
      <c r="AH103" s="47">
        <f t="shared" si="31"/>
        <v>130</v>
      </c>
      <c r="AI103" s="48">
        <f t="shared" si="32"/>
        <v>124.9</v>
      </c>
    </row>
    <row r="104" spans="1:37" x14ac:dyDescent="0.25">
      <c r="A104" s="102" t="s">
        <v>112</v>
      </c>
      <c r="B104" s="64">
        <v>129</v>
      </c>
      <c r="C104" s="64">
        <v>126</v>
      </c>
      <c r="D104" s="64">
        <v>127</v>
      </c>
      <c r="E104" s="64">
        <v>128.5</v>
      </c>
      <c r="F104" s="64">
        <v>128.5</v>
      </c>
      <c r="G104" s="64">
        <v>126.9</v>
      </c>
      <c r="H104" s="64"/>
      <c r="I104" s="64">
        <v>125.9</v>
      </c>
      <c r="J104" s="64">
        <v>125.9</v>
      </c>
      <c r="K104" s="64">
        <v>125.6</v>
      </c>
      <c r="L104" s="64">
        <v>125.6</v>
      </c>
      <c r="M104" s="64">
        <v>126.5</v>
      </c>
      <c r="N104" s="64">
        <v>128.30000000000001</v>
      </c>
      <c r="O104" s="64">
        <v>128.6</v>
      </c>
      <c r="P104" s="64">
        <v>127.2</v>
      </c>
      <c r="Q104" s="64">
        <v>127.1</v>
      </c>
      <c r="R104" s="64">
        <v>129</v>
      </c>
      <c r="S104" s="64">
        <v>128</v>
      </c>
      <c r="T104" s="64">
        <v>127.1</v>
      </c>
      <c r="U104" s="64">
        <v>127.3</v>
      </c>
      <c r="V104" s="64">
        <v>129.30000000000001</v>
      </c>
      <c r="W104" s="64">
        <v>129.6</v>
      </c>
      <c r="X104" s="64">
        <v>125.3</v>
      </c>
      <c r="Y104" s="64">
        <v>127.4</v>
      </c>
      <c r="Z104" s="64">
        <v>129</v>
      </c>
      <c r="AA104" s="64">
        <v>128.30000000000001</v>
      </c>
      <c r="AB104" s="64">
        <v>129.1</v>
      </c>
      <c r="AC104" s="64">
        <v>128.4</v>
      </c>
      <c r="AD104" s="64">
        <v>129.30000000000001</v>
      </c>
      <c r="AE104" s="64">
        <v>129.69999999999999</v>
      </c>
      <c r="AF104" s="64">
        <v>128</v>
      </c>
      <c r="AG104" s="103"/>
      <c r="AH104" s="47">
        <f t="shared" si="31"/>
        <v>129.69999999999999</v>
      </c>
      <c r="AI104" s="48">
        <f t="shared" si="32"/>
        <v>125.3</v>
      </c>
    </row>
    <row r="105" spans="1:37" x14ac:dyDescent="0.25">
      <c r="A105" s="104" t="s">
        <v>113</v>
      </c>
      <c r="B105" s="64">
        <v>132</v>
      </c>
      <c r="C105" s="64">
        <v>131</v>
      </c>
      <c r="D105" s="64">
        <v>131</v>
      </c>
      <c r="E105" s="64">
        <v>132.4</v>
      </c>
      <c r="F105" s="64">
        <v>132.4</v>
      </c>
      <c r="G105" s="64">
        <v>131.6</v>
      </c>
      <c r="H105" s="64"/>
      <c r="I105" s="64">
        <v>130.4</v>
      </c>
      <c r="J105" s="64">
        <v>130.4</v>
      </c>
      <c r="K105" s="64">
        <v>128.69999999999999</v>
      </c>
      <c r="L105" s="64">
        <v>128.69999999999999</v>
      </c>
      <c r="M105" s="64">
        <v>129.5</v>
      </c>
      <c r="N105" s="64">
        <v>131.80000000000001</v>
      </c>
      <c r="O105" s="64">
        <v>132.30000000000001</v>
      </c>
      <c r="P105" s="64">
        <v>130.4</v>
      </c>
      <c r="Q105" s="64">
        <v>130.69999999999999</v>
      </c>
      <c r="R105" s="64">
        <v>132.9</v>
      </c>
      <c r="S105" s="64">
        <v>131.4</v>
      </c>
      <c r="T105" s="64">
        <v>130.69999999999999</v>
      </c>
      <c r="U105" s="64">
        <v>130.4</v>
      </c>
      <c r="V105" s="64">
        <v>132.80000000000001</v>
      </c>
      <c r="W105" s="64">
        <v>132.9</v>
      </c>
      <c r="X105" s="64">
        <v>127.9</v>
      </c>
      <c r="Y105" s="64">
        <v>130</v>
      </c>
      <c r="Z105" s="64">
        <v>132.1</v>
      </c>
      <c r="AA105" s="64">
        <v>132.4</v>
      </c>
      <c r="AB105" s="64">
        <v>133.1</v>
      </c>
      <c r="AC105" s="64">
        <v>132.6</v>
      </c>
      <c r="AD105" s="64">
        <v>134.1</v>
      </c>
      <c r="AE105" s="64">
        <v>132.80000000000001</v>
      </c>
      <c r="AF105" s="64">
        <v>131.4</v>
      </c>
      <c r="AG105" s="103"/>
      <c r="AH105" s="47">
        <f t="shared" si="31"/>
        <v>134.1</v>
      </c>
      <c r="AI105" s="48">
        <f t="shared" si="32"/>
        <v>127.9</v>
      </c>
    </row>
    <row r="106" spans="1:37" x14ac:dyDescent="0.25">
      <c r="A106" s="104" t="s">
        <v>114</v>
      </c>
      <c r="B106" s="105">
        <v>133</v>
      </c>
      <c r="C106" s="105">
        <v>131</v>
      </c>
      <c r="D106" s="105">
        <v>131</v>
      </c>
      <c r="E106" s="105">
        <v>133.30000000000001</v>
      </c>
      <c r="F106" s="105">
        <v>133.30000000000001</v>
      </c>
      <c r="G106" s="105">
        <v>134.4</v>
      </c>
      <c r="H106" s="105"/>
      <c r="I106" s="105">
        <v>132.69999999999999</v>
      </c>
      <c r="J106" s="105">
        <v>132.69999999999999</v>
      </c>
      <c r="K106" s="105">
        <v>132.9</v>
      </c>
      <c r="L106" s="105">
        <v>132.9</v>
      </c>
      <c r="M106" s="105">
        <v>134.1</v>
      </c>
      <c r="N106" s="105">
        <v>134.6</v>
      </c>
      <c r="O106" s="105">
        <v>134.5</v>
      </c>
      <c r="P106" s="105">
        <v>134.30000000000001</v>
      </c>
      <c r="Q106" s="105">
        <v>132.6</v>
      </c>
      <c r="R106" s="105">
        <v>132</v>
      </c>
      <c r="S106" s="105">
        <v>132.9</v>
      </c>
      <c r="T106" s="105">
        <v>134.6</v>
      </c>
      <c r="U106" s="105">
        <v>133.6</v>
      </c>
      <c r="V106" s="105">
        <v>132.69999999999999</v>
      </c>
      <c r="W106" s="105">
        <v>132.9</v>
      </c>
      <c r="X106" s="105">
        <v>132.1</v>
      </c>
      <c r="Y106" s="105">
        <v>136.5</v>
      </c>
      <c r="Z106" s="105">
        <v>135.69999999999999</v>
      </c>
      <c r="AA106" s="105">
        <v>131.5</v>
      </c>
      <c r="AB106" s="105">
        <v>133.1</v>
      </c>
      <c r="AC106" s="105">
        <v>134</v>
      </c>
      <c r="AD106" s="105">
        <v>135.19999999999999</v>
      </c>
      <c r="AE106" s="105">
        <v>129.4</v>
      </c>
      <c r="AF106" s="105">
        <v>129.69999999999999</v>
      </c>
      <c r="AG106" s="106"/>
      <c r="AH106" s="47">
        <f t="shared" si="31"/>
        <v>136.5</v>
      </c>
      <c r="AI106" s="48">
        <f t="shared" si="32"/>
        <v>129.4</v>
      </c>
    </row>
    <row r="107" spans="1:37" x14ac:dyDescent="0.25">
      <c r="A107" s="102" t="s">
        <v>115</v>
      </c>
      <c r="B107" s="64">
        <v>136</v>
      </c>
      <c r="C107" s="64">
        <v>133</v>
      </c>
      <c r="D107" s="64">
        <v>130</v>
      </c>
      <c r="E107" s="64">
        <v>132.5</v>
      </c>
      <c r="F107" s="64">
        <v>132.5</v>
      </c>
      <c r="G107" s="64">
        <v>134.6</v>
      </c>
      <c r="H107" s="64"/>
      <c r="I107" s="64">
        <v>131.30000000000001</v>
      </c>
      <c r="J107" s="64">
        <v>131.30000000000001</v>
      </c>
      <c r="K107" s="64">
        <v>130.69999999999999</v>
      </c>
      <c r="L107" s="64">
        <v>130.69999999999999</v>
      </c>
      <c r="M107" s="64">
        <v>137.30000000000001</v>
      </c>
      <c r="N107" s="64">
        <v>137</v>
      </c>
      <c r="O107" s="64">
        <v>133.9</v>
      </c>
      <c r="P107" s="64">
        <v>135.4</v>
      </c>
      <c r="Q107" s="64">
        <v>134.1</v>
      </c>
      <c r="R107" s="64">
        <v>130</v>
      </c>
      <c r="S107" s="64">
        <v>131.9</v>
      </c>
      <c r="T107" s="64">
        <v>132.9</v>
      </c>
      <c r="U107" s="64">
        <v>135</v>
      </c>
      <c r="V107" s="64">
        <v>129.69999999999999</v>
      </c>
      <c r="W107" s="64">
        <v>130.69999999999999</v>
      </c>
      <c r="X107" s="64">
        <v>133.5</v>
      </c>
      <c r="Y107" s="64">
        <v>136</v>
      </c>
      <c r="Z107" s="64">
        <v>138.5</v>
      </c>
      <c r="AA107" s="64">
        <v>130</v>
      </c>
      <c r="AB107" s="64">
        <v>133</v>
      </c>
      <c r="AC107" s="64">
        <v>133.9</v>
      </c>
      <c r="AD107" s="64">
        <v>134.9</v>
      </c>
      <c r="AE107" s="64">
        <v>126.9</v>
      </c>
      <c r="AF107" s="64">
        <v>126.8</v>
      </c>
      <c r="AG107" s="103"/>
      <c r="AH107" s="47">
        <f t="shared" si="31"/>
        <v>138.5</v>
      </c>
      <c r="AI107" s="48">
        <f t="shared" si="32"/>
        <v>126.8</v>
      </c>
    </row>
    <row r="108" spans="1:37" ht="15.75" thickBot="1" x14ac:dyDescent="0.3">
      <c r="A108" s="102" t="s">
        <v>116</v>
      </c>
      <c r="B108" s="91">
        <v>65.2</v>
      </c>
      <c r="C108" s="91">
        <v>65.2</v>
      </c>
      <c r="D108" s="91">
        <v>65</v>
      </c>
      <c r="E108" s="91">
        <v>65</v>
      </c>
      <c r="F108" s="91">
        <v>65</v>
      </c>
      <c r="G108" s="91">
        <v>65.099999999999994</v>
      </c>
      <c r="H108" s="91"/>
      <c r="I108" s="91">
        <v>64.900000000000006</v>
      </c>
      <c r="J108" s="91">
        <v>64.900000000000006</v>
      </c>
      <c r="K108" s="91">
        <v>64.2</v>
      </c>
      <c r="L108" s="91">
        <v>64.2</v>
      </c>
      <c r="M108" s="91">
        <v>64.2</v>
      </c>
      <c r="N108" s="91">
        <v>63.3</v>
      </c>
      <c r="O108" s="91">
        <v>63.3</v>
      </c>
      <c r="P108" s="91">
        <v>62.2</v>
      </c>
      <c r="Q108" s="91">
        <v>63.1</v>
      </c>
      <c r="R108" s="91">
        <v>62.4</v>
      </c>
      <c r="S108" s="91">
        <v>63.2</v>
      </c>
      <c r="T108" s="91">
        <v>63.2</v>
      </c>
      <c r="U108" s="91">
        <v>62.9</v>
      </c>
      <c r="V108" s="91">
        <v>63.4</v>
      </c>
      <c r="W108" s="91">
        <v>63.8</v>
      </c>
      <c r="X108" s="91">
        <v>64</v>
      </c>
      <c r="Y108" s="91">
        <v>64.3</v>
      </c>
      <c r="Z108" s="91">
        <v>64.7</v>
      </c>
      <c r="AA108" s="91">
        <v>64.400000000000006</v>
      </c>
      <c r="AB108" s="91">
        <v>65.3</v>
      </c>
      <c r="AC108" s="91">
        <v>64.7</v>
      </c>
      <c r="AD108" s="91">
        <v>64.3</v>
      </c>
      <c r="AE108" s="91">
        <v>64</v>
      </c>
      <c r="AF108" s="91">
        <v>63.9</v>
      </c>
      <c r="AG108" s="107"/>
      <c r="AH108" s="47">
        <f t="shared" si="31"/>
        <v>65.3</v>
      </c>
      <c r="AI108" s="48">
        <f t="shared" si="32"/>
        <v>62.2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31"/>
        <v>0</v>
      </c>
      <c r="AI109" s="48">
        <f t="shared" si="32"/>
        <v>0</v>
      </c>
    </row>
    <row r="110" spans="1:37" ht="15.75" thickBot="1" x14ac:dyDescent="0.3">
      <c r="A110" s="109" t="s">
        <v>118</v>
      </c>
      <c r="B110" s="110"/>
      <c r="C110" s="110"/>
      <c r="D110" s="110">
        <f t="shared" ref="D110:O110" si="75">SUM(D20,D26,D29:D30,D58,D60:D61,D63,D65,D111:D115,D138,D144,D150,D159,D161,D173,D180,D183:D184,D191,D193,D195,D199:D201,D203:D205,D210,D216:D217,D219:D221,D229,D234)</f>
        <v>28.94</v>
      </c>
      <c r="E110" s="110">
        <f t="shared" ref="E110:F110" si="76">SUM(E20,E26,E29:E30,E58,E60:E61,E63,E65,E111:E115,E138,E144,E150,E159,E161,E173,E180,E183:E184,E191,E193,E195,E199:E201,E203:E205,E210,E216:E217,E219:E221,E229,E234)</f>
        <v>26.540000000000006</v>
      </c>
      <c r="F110" s="110">
        <f t="shared" si="76"/>
        <v>28.84</v>
      </c>
      <c r="G110" s="110">
        <f t="shared" ref="G110:I110" si="77">SUM(G20,G26,G29:G30,G58,G60:G61,G63,G65,G111:G115,G138,G144,G150,G159,G161,G173,G180,G183:G184,G191,G193,G195,G199:G201,G203:G205,G210,G216:G217,G219:G221,G229,G234)</f>
        <v>46.440000000000012</v>
      </c>
      <c r="H110" s="110">
        <f t="shared" si="77"/>
        <v>0.94</v>
      </c>
      <c r="I110" s="110">
        <f t="shared" si="77"/>
        <v>-11.259999999999998</v>
      </c>
      <c r="J110" s="110">
        <f t="shared" ref="J110:K110" si="78">SUM(J20,J26,J29:J30,J58,J60:J61,J63,J65,J111:J115,J138,J144,J150,J159,J161,J173,J180,J183:J184,J191,J193,J195,J199:J201,J203:J205,J210,J216:J217,J219:J221,J229,J234)</f>
        <v>171.44000000000005</v>
      </c>
      <c r="K110" s="110">
        <f t="shared" si="78"/>
        <v>174.44000000000003</v>
      </c>
      <c r="L110" s="110">
        <f t="shared" ref="L110" si="79">SUM(L20,L26,L29:L30,L58,L60:L61,L63,L65,L111:L115,L138,L144,L150,L159,L161,L173,L180,L183:L184,L191,L193,L195,L199:L201,L203:L205,L210,L216:L217,L219:L221,L229,L234)</f>
        <v>174.44000000000003</v>
      </c>
      <c r="M110" s="110">
        <f t="shared" si="75"/>
        <v>195.03999999999996</v>
      </c>
      <c r="N110" s="110">
        <f t="shared" si="75"/>
        <v>194.83999999999997</v>
      </c>
      <c r="O110" s="110">
        <f t="shared" si="75"/>
        <v>208.94000000000005</v>
      </c>
      <c r="P110" s="110">
        <v>42</v>
      </c>
      <c r="Q110" s="110">
        <f t="shared" ref="Q110:AE110" si="80">SUM(Q20,Q26,Q29:Q30,Q58,Q60:Q61,Q63,Q65,Q111:Q115,Q138,Q144,Q150,Q159,Q161,Q173,Q180,Q183:Q184,Q191,Q193,Q195,Q199:Q201,Q203:Q205,Q210,Q216:Q217,Q219:Q221,Q229,Q234)</f>
        <v>171.59999999999997</v>
      </c>
      <c r="R110" s="110">
        <f t="shared" si="80"/>
        <v>188.5</v>
      </c>
      <c r="S110" s="110">
        <f t="shared" si="80"/>
        <v>190.70000000000002</v>
      </c>
      <c r="T110" s="110">
        <f t="shared" si="80"/>
        <v>191.39999999999998</v>
      </c>
      <c r="U110" s="110">
        <f t="shared" si="80"/>
        <v>183.99999999999997</v>
      </c>
      <c r="V110" s="110">
        <f t="shared" si="80"/>
        <v>185.5</v>
      </c>
      <c r="W110" s="110">
        <f t="shared" si="80"/>
        <v>198.8</v>
      </c>
      <c r="X110" s="110">
        <f t="shared" si="80"/>
        <v>264.2</v>
      </c>
      <c r="Y110" s="110">
        <f t="shared" si="80"/>
        <v>271.60000000000002</v>
      </c>
      <c r="Z110" s="110">
        <f t="shared" si="80"/>
        <v>262.59999999999997</v>
      </c>
      <c r="AA110" s="110">
        <f t="shared" si="80"/>
        <v>232.7</v>
      </c>
      <c r="AB110" s="110">
        <f t="shared" si="80"/>
        <v>192.6</v>
      </c>
      <c r="AC110" s="110">
        <f t="shared" si="80"/>
        <v>185.49999999999997</v>
      </c>
      <c r="AD110" s="110"/>
      <c r="AE110" s="110">
        <f t="shared" si="80"/>
        <v>87.600000000000009</v>
      </c>
      <c r="AF110" s="110">
        <f t="shared" ref="AF110" si="81">SUM(AF20,AF26,AF29:AF30,AF58,AF60:AF61,AF63,AF65,AF111:AF115,AF138,AF144,AF150,AF159,AF161,AF173,AF180,AF183:AF184,AF191,AF193,AF195,AF199:AF201,AF203:AF205,AF210,AF216:AF217,AF219:AF221,AF229,AF234)</f>
        <v>52.3</v>
      </c>
      <c r="AG110" s="111"/>
      <c r="AH110" s="47">
        <f t="shared" si="31"/>
        <v>271.60000000000002</v>
      </c>
      <c r="AI110" s="48">
        <f t="shared" si="32"/>
        <v>-11.259999999999998</v>
      </c>
    </row>
    <row r="111" spans="1:37" x14ac:dyDescent="0.25">
      <c r="A111" s="99" t="s">
        <v>119</v>
      </c>
      <c r="B111" s="112">
        <v>23</v>
      </c>
      <c r="C111" s="112">
        <v>27</v>
      </c>
      <c r="D111" s="112">
        <v>28</v>
      </c>
      <c r="E111" s="112">
        <v>26.9</v>
      </c>
      <c r="F111" s="112">
        <v>30.5</v>
      </c>
      <c r="G111" s="112">
        <v>35.4</v>
      </c>
      <c r="H111" s="112"/>
      <c r="I111" s="112">
        <v>44.7</v>
      </c>
      <c r="J111" s="112">
        <v>44.7</v>
      </c>
      <c r="K111" s="112">
        <v>52.5</v>
      </c>
      <c r="L111" s="112">
        <v>52.5</v>
      </c>
      <c r="M111" s="112">
        <v>53.6</v>
      </c>
      <c r="N111" s="112">
        <v>55.5</v>
      </c>
      <c r="O111" s="112">
        <v>57.4</v>
      </c>
      <c r="P111" s="112">
        <v>57.7</v>
      </c>
      <c r="Q111" s="112">
        <v>52.1</v>
      </c>
      <c r="R111" s="112">
        <v>53.5</v>
      </c>
      <c r="S111" s="112">
        <v>54.5</v>
      </c>
      <c r="T111" s="112">
        <v>49</v>
      </c>
      <c r="U111" s="112">
        <v>50.1</v>
      </c>
      <c r="V111" s="112">
        <v>47.7</v>
      </c>
      <c r="W111" s="112">
        <v>49.2</v>
      </c>
      <c r="X111" s="112">
        <v>57.1</v>
      </c>
      <c r="Y111" s="112">
        <v>54.9</v>
      </c>
      <c r="Z111" s="112">
        <v>62.2</v>
      </c>
      <c r="AA111" s="112">
        <v>62.1</v>
      </c>
      <c r="AB111" s="112">
        <v>64.900000000000006</v>
      </c>
      <c r="AC111" s="112">
        <v>68.5</v>
      </c>
      <c r="AD111" s="112">
        <v>58.9</v>
      </c>
      <c r="AE111" s="112">
        <v>59.2</v>
      </c>
      <c r="AF111" s="112">
        <v>43.3</v>
      </c>
      <c r="AG111" s="113">
        <v>75</v>
      </c>
      <c r="AH111" s="47">
        <f t="shared" si="31"/>
        <v>68.5</v>
      </c>
      <c r="AI111" s="48">
        <f t="shared" si="32"/>
        <v>23</v>
      </c>
    </row>
    <row r="112" spans="1:37" x14ac:dyDescent="0.25">
      <c r="A112" s="102" t="s">
        <v>120</v>
      </c>
      <c r="B112" s="114">
        <v>39</v>
      </c>
      <c r="C112" s="114">
        <v>42</v>
      </c>
      <c r="D112" s="114">
        <v>43</v>
      </c>
      <c r="E112" s="114">
        <v>42</v>
      </c>
      <c r="F112" s="114">
        <v>46.2</v>
      </c>
      <c r="G112" s="114">
        <v>51.5</v>
      </c>
      <c r="H112" s="114"/>
      <c r="I112" s="114">
        <v>59.3</v>
      </c>
      <c r="J112" s="114">
        <v>59.3</v>
      </c>
      <c r="K112" s="114">
        <v>72.400000000000006</v>
      </c>
      <c r="L112" s="114">
        <v>72.400000000000006</v>
      </c>
      <c r="M112" s="114">
        <v>72.400000000000006</v>
      </c>
      <c r="N112" s="114">
        <v>76.3</v>
      </c>
      <c r="O112" s="114">
        <v>78.599999999999994</v>
      </c>
      <c r="P112" s="114">
        <v>80.3</v>
      </c>
      <c r="Q112" s="114">
        <v>71.5</v>
      </c>
      <c r="R112" s="114">
        <v>72.7</v>
      </c>
      <c r="S112" s="114">
        <v>75</v>
      </c>
      <c r="T112" s="114">
        <v>65.3</v>
      </c>
      <c r="U112" s="114">
        <v>66.900000000000006</v>
      </c>
      <c r="V112" s="114">
        <v>63.9</v>
      </c>
      <c r="W112" s="114">
        <v>65.8</v>
      </c>
      <c r="X112" s="114">
        <v>77.099999999999994</v>
      </c>
      <c r="Y112" s="114">
        <v>73.900000000000006</v>
      </c>
      <c r="Z112" s="114">
        <v>85.7</v>
      </c>
      <c r="AA112" s="114">
        <v>85.4</v>
      </c>
      <c r="AB112" s="114">
        <v>91.7</v>
      </c>
      <c r="AC112" s="114">
        <v>97</v>
      </c>
      <c r="AD112" s="114">
        <v>80.099999999999994</v>
      </c>
      <c r="AE112" s="114">
        <v>80.900000000000006</v>
      </c>
      <c r="AF112" s="114">
        <v>60</v>
      </c>
      <c r="AG112" s="113">
        <v>240</v>
      </c>
      <c r="AH112" s="47">
        <f t="shared" si="31"/>
        <v>97</v>
      </c>
      <c r="AI112" s="48">
        <f t="shared" si="32"/>
        <v>39</v>
      </c>
    </row>
    <row r="113" spans="1:37" x14ac:dyDescent="0.25">
      <c r="A113" s="102" t="s">
        <v>121</v>
      </c>
      <c r="B113" s="114">
        <v>-156</v>
      </c>
      <c r="C113" s="114">
        <v>-168</v>
      </c>
      <c r="D113" s="114">
        <v>-173</v>
      </c>
      <c r="E113" s="114">
        <v>-162.80000000000001</v>
      </c>
      <c r="F113" s="114">
        <v>-170</v>
      </c>
      <c r="G113" s="114">
        <v>-163</v>
      </c>
      <c r="H113" s="114"/>
      <c r="I113" s="114">
        <v>-108</v>
      </c>
      <c r="J113" s="114">
        <v>-108</v>
      </c>
      <c r="K113" s="114">
        <v>-125.9</v>
      </c>
      <c r="L113" s="114">
        <v>-125.9</v>
      </c>
      <c r="M113" s="114">
        <v>-118</v>
      </c>
      <c r="N113" s="114">
        <v>-120</v>
      </c>
      <c r="O113" s="114">
        <v>-115</v>
      </c>
      <c r="P113" s="114">
        <v>-125</v>
      </c>
      <c r="Q113" s="114">
        <v>-141</v>
      </c>
      <c r="R113" s="114">
        <v>-125</v>
      </c>
      <c r="S113" s="114">
        <v>-116</v>
      </c>
      <c r="T113" s="114">
        <v>-103</v>
      </c>
      <c r="U113" s="114">
        <f>-52.6-56.9</f>
        <v>-109.5</v>
      </c>
      <c r="V113" s="114">
        <v>-100</v>
      </c>
      <c r="W113" s="114">
        <v>-91</v>
      </c>
      <c r="X113" s="114">
        <v>-83</v>
      </c>
      <c r="Y113" s="114">
        <v>-80</v>
      </c>
      <c r="Z113" s="114">
        <v>-100</v>
      </c>
      <c r="AA113" s="114">
        <v>-110</v>
      </c>
      <c r="AB113" s="114">
        <f>-72-78</f>
        <v>-150</v>
      </c>
      <c r="AC113" s="114">
        <f>-78-85</f>
        <v>-163</v>
      </c>
      <c r="AD113" s="114">
        <f>-87.1-93</f>
        <v>-180.1</v>
      </c>
      <c r="AE113" s="114">
        <f>-88.6-94.5</f>
        <v>-183.1</v>
      </c>
      <c r="AF113" s="114">
        <f>-88.9-93.5</f>
        <v>-182.4</v>
      </c>
      <c r="AG113" s="113">
        <v>240</v>
      </c>
      <c r="AH113" s="47">
        <f t="shared" si="31"/>
        <v>-80</v>
      </c>
      <c r="AI113" s="48">
        <f t="shared" si="32"/>
        <v>-183.1</v>
      </c>
    </row>
    <row r="114" spans="1:37" x14ac:dyDescent="0.25">
      <c r="A114" s="102" t="s">
        <v>122</v>
      </c>
      <c r="B114" s="114">
        <v>-22</v>
      </c>
      <c r="C114" s="114">
        <v>-21</v>
      </c>
      <c r="D114" s="114">
        <v>-23</v>
      </c>
      <c r="E114" s="114">
        <v>-24.3</v>
      </c>
      <c r="F114" s="114">
        <v>-22.6</v>
      </c>
      <c r="G114" s="114">
        <v>-22.2</v>
      </c>
      <c r="H114" s="114"/>
      <c r="I114" s="114">
        <v>-8.1999999999999993</v>
      </c>
      <c r="J114" s="114">
        <v>-8.1999999999999993</v>
      </c>
      <c r="K114" s="114">
        <v>-8.1999999999999993</v>
      </c>
      <c r="L114" s="114">
        <v>-8.1999999999999993</v>
      </c>
      <c r="M114" s="114">
        <v>11.7</v>
      </c>
      <c r="N114" s="114">
        <v>1.7</v>
      </c>
      <c r="O114" s="114">
        <v>3.3</v>
      </c>
      <c r="P114" s="114">
        <v>2.4</v>
      </c>
      <c r="Q114" s="114">
        <v>1.7</v>
      </c>
      <c r="R114" s="114">
        <v>-5</v>
      </c>
      <c r="S114" s="114">
        <v>-6.4</v>
      </c>
      <c r="T114" s="114">
        <v>-0.5</v>
      </c>
      <c r="U114" s="114">
        <v>1.6</v>
      </c>
      <c r="V114" s="114">
        <v>1.5</v>
      </c>
      <c r="W114" s="114">
        <v>3</v>
      </c>
      <c r="X114" s="114">
        <v>31.3</v>
      </c>
      <c r="Y114" s="114">
        <v>41.1</v>
      </c>
      <c r="Z114" s="114">
        <v>33</v>
      </c>
      <c r="AA114" s="114">
        <v>13.5</v>
      </c>
      <c r="AB114" s="114">
        <v>4.0999999999999996</v>
      </c>
      <c r="AC114" s="114">
        <v>1.1000000000000001</v>
      </c>
      <c r="AD114" s="114">
        <v>-3.5</v>
      </c>
      <c r="AE114" s="114">
        <v>-23.8</v>
      </c>
      <c r="AF114" s="114">
        <v>-21.8</v>
      </c>
      <c r="AG114" s="113">
        <v>60</v>
      </c>
      <c r="AH114" s="47">
        <f t="shared" si="31"/>
        <v>41.1</v>
      </c>
      <c r="AI114" s="48">
        <f t="shared" si="32"/>
        <v>-24.3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/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31"/>
        <v>0</v>
      </c>
      <c r="AI115" s="48">
        <f t="shared" si="32"/>
        <v>0</v>
      </c>
    </row>
    <row r="116" spans="1:37" x14ac:dyDescent="0.25">
      <c r="A116" s="115" t="s">
        <v>124</v>
      </c>
      <c r="B116" s="116">
        <v>-12</v>
      </c>
      <c r="C116" s="116">
        <v>-19</v>
      </c>
      <c r="D116" s="116">
        <v>9</v>
      </c>
      <c r="E116" s="116">
        <v>14.8</v>
      </c>
      <c r="F116" s="116">
        <v>5.9</v>
      </c>
      <c r="G116" s="116">
        <v>-4.5</v>
      </c>
      <c r="H116" s="116"/>
      <c r="I116" s="116">
        <v>47</v>
      </c>
      <c r="J116" s="116">
        <v>47</v>
      </c>
      <c r="K116" s="116">
        <v>23.5</v>
      </c>
      <c r="L116" s="116">
        <v>23.5</v>
      </c>
      <c r="M116" s="116">
        <v>40.9</v>
      </c>
      <c r="N116" s="116">
        <v>5.2</v>
      </c>
      <c r="O116" s="116">
        <v>17.100000000000001</v>
      </c>
      <c r="P116" s="116">
        <v>11.9</v>
      </c>
      <c r="Q116" s="116">
        <v>-18.3</v>
      </c>
      <c r="R116" s="116">
        <v>4.8</v>
      </c>
      <c r="S116" s="116">
        <v>-1.7</v>
      </c>
      <c r="T116" s="116">
        <v>32.4</v>
      </c>
      <c r="U116" s="116">
        <v>0.6</v>
      </c>
      <c r="V116" s="116">
        <v>5</v>
      </c>
      <c r="W116" s="116">
        <v>18.399999999999999</v>
      </c>
      <c r="X116" s="116">
        <v>51</v>
      </c>
      <c r="Y116" s="116">
        <v>8.1999999999999993</v>
      </c>
      <c r="Z116" s="116">
        <v>6.7</v>
      </c>
      <c r="AA116" s="116">
        <v>-7.5</v>
      </c>
      <c r="AB116" s="116">
        <v>-19.3</v>
      </c>
      <c r="AC116" s="116">
        <v>-7.3</v>
      </c>
      <c r="AD116" s="116">
        <v>-10</v>
      </c>
      <c r="AE116" s="116">
        <v>-21.1</v>
      </c>
      <c r="AF116" s="116">
        <v>32.799999999999997</v>
      </c>
      <c r="AG116" s="117"/>
      <c r="AH116" s="47">
        <f t="shared" si="31"/>
        <v>51</v>
      </c>
      <c r="AI116" s="48">
        <f t="shared" si="32"/>
        <v>-21.1</v>
      </c>
    </row>
    <row r="117" spans="1:37" x14ac:dyDescent="0.25">
      <c r="A117" s="115" t="s">
        <v>125</v>
      </c>
      <c r="B117" s="116">
        <v>-5</v>
      </c>
      <c r="C117" s="116">
        <v>-3</v>
      </c>
      <c r="D117" s="116">
        <v>-5</v>
      </c>
      <c r="E117" s="116">
        <v>-5.0999999999999996</v>
      </c>
      <c r="F117" s="116">
        <v>-10.3</v>
      </c>
      <c r="G117" s="116">
        <v>-18.2</v>
      </c>
      <c r="H117" s="116"/>
      <c r="I117" s="116">
        <v>-12.2</v>
      </c>
      <c r="J117" s="116">
        <v>-12.2</v>
      </c>
      <c r="K117" s="116">
        <v>-21.5</v>
      </c>
      <c r="L117" s="116">
        <v>-21.5</v>
      </c>
      <c r="M117" s="116">
        <v>-23.8</v>
      </c>
      <c r="N117" s="116">
        <v>-48.7</v>
      </c>
      <c r="O117" s="116">
        <v>-36.799999999999997</v>
      </c>
      <c r="P117" s="116">
        <v>-37.299999999999997</v>
      </c>
      <c r="Q117" s="116">
        <v>-39.700000000000003</v>
      </c>
      <c r="R117" s="116">
        <v>-36.799999999999997</v>
      </c>
      <c r="S117" s="116">
        <v>-44.3</v>
      </c>
      <c r="T117" s="116">
        <v>-26.1</v>
      </c>
      <c r="U117" s="116">
        <v>-27.8</v>
      </c>
      <c r="V117" s="116">
        <v>-31.7</v>
      </c>
      <c r="W117" s="116">
        <v>-29.5</v>
      </c>
      <c r="X117" s="116">
        <v>-59.2</v>
      </c>
      <c r="Y117" s="116">
        <v>-75.5</v>
      </c>
      <c r="Z117" s="116">
        <v>-69</v>
      </c>
      <c r="AA117" s="116">
        <v>-91.2</v>
      </c>
      <c r="AB117" s="116">
        <v>-76.400000000000006</v>
      </c>
      <c r="AC117" s="116">
        <v>-71</v>
      </c>
      <c r="AD117" s="116">
        <v>-68.2</v>
      </c>
      <c r="AE117" s="116">
        <v>-64.099999999999994</v>
      </c>
      <c r="AF117" s="116">
        <v>-56.8</v>
      </c>
      <c r="AG117" s="118"/>
      <c r="AH117" s="47">
        <f t="shared" si="31"/>
        <v>-3</v>
      </c>
      <c r="AI117" s="48">
        <f t="shared" si="32"/>
        <v>-91.2</v>
      </c>
    </row>
    <row r="118" spans="1:37" x14ac:dyDescent="0.25">
      <c r="A118" s="119" t="s">
        <v>126</v>
      </c>
      <c r="B118" s="105">
        <v>68</v>
      </c>
      <c r="C118" s="105">
        <v>71</v>
      </c>
      <c r="D118" s="105">
        <v>72.5</v>
      </c>
      <c r="E118" s="105">
        <v>73.5</v>
      </c>
      <c r="F118" s="105">
        <v>75.8</v>
      </c>
      <c r="G118" s="105">
        <v>75.599999999999994</v>
      </c>
      <c r="H118" s="105"/>
      <c r="I118" s="105">
        <v>70.3</v>
      </c>
      <c r="J118" s="105">
        <v>70.3</v>
      </c>
      <c r="K118" s="105">
        <v>65.599999999999994</v>
      </c>
      <c r="L118" s="105">
        <v>65.599999999999994</v>
      </c>
      <c r="M118" s="105">
        <v>59.8</v>
      </c>
      <c r="N118" s="105">
        <v>53</v>
      </c>
      <c r="O118" s="105">
        <v>59.4</v>
      </c>
      <c r="P118" s="105">
        <v>52.9</v>
      </c>
      <c r="Q118" s="105">
        <v>54.2</v>
      </c>
      <c r="R118" s="105">
        <v>58.4</v>
      </c>
      <c r="S118" s="105">
        <v>56</v>
      </c>
      <c r="T118" s="105">
        <v>56</v>
      </c>
      <c r="U118" s="105">
        <v>55.8</v>
      </c>
      <c r="V118" s="105">
        <v>56.1</v>
      </c>
      <c r="W118" s="105">
        <v>49.4</v>
      </c>
      <c r="X118" s="105">
        <v>38.1</v>
      </c>
      <c r="Y118" s="105">
        <v>38.9</v>
      </c>
      <c r="Z118" s="105">
        <v>48</v>
      </c>
      <c r="AA118" s="105">
        <v>50.4</v>
      </c>
      <c r="AB118" s="105">
        <v>49.1</v>
      </c>
      <c r="AC118" s="105">
        <v>50.8</v>
      </c>
      <c r="AD118" s="105">
        <v>55.8</v>
      </c>
      <c r="AE118" s="105">
        <v>66.3</v>
      </c>
      <c r="AF118" s="105">
        <v>73.5</v>
      </c>
      <c r="AG118" s="118"/>
      <c r="AH118" s="47">
        <f t="shared" si="31"/>
        <v>75.8</v>
      </c>
      <c r="AI118" s="48">
        <f t="shared" si="32"/>
        <v>38.1</v>
      </c>
    </row>
    <row r="119" spans="1:37" x14ac:dyDescent="0.25">
      <c r="A119" s="120" t="s">
        <v>127</v>
      </c>
      <c r="B119" s="105">
        <v>95</v>
      </c>
      <c r="C119" s="105">
        <v>96</v>
      </c>
      <c r="D119" s="105">
        <v>92</v>
      </c>
      <c r="E119" s="105">
        <v>86.5</v>
      </c>
      <c r="F119" s="105">
        <v>98.5</v>
      </c>
      <c r="G119" s="105">
        <v>94.8</v>
      </c>
      <c r="H119" s="105"/>
      <c r="I119" s="105">
        <v>57</v>
      </c>
      <c r="J119" s="105">
        <v>57</v>
      </c>
      <c r="K119" s="105">
        <v>72.3</v>
      </c>
      <c r="L119" s="105">
        <v>72.3</v>
      </c>
      <c r="M119" s="105">
        <v>69.2</v>
      </c>
      <c r="N119" s="105">
        <v>84.7</v>
      </c>
      <c r="O119" s="105">
        <v>75.099999999999994</v>
      </c>
      <c r="P119" s="105">
        <v>80.5</v>
      </c>
      <c r="Q119" s="105">
        <v>89.8</v>
      </c>
      <c r="R119" s="105">
        <v>78.3</v>
      </c>
      <c r="S119" s="105">
        <v>80</v>
      </c>
      <c r="T119" s="105">
        <v>63.7</v>
      </c>
      <c r="U119" s="105">
        <v>75.2</v>
      </c>
      <c r="V119" s="105">
        <v>70</v>
      </c>
      <c r="W119" s="105">
        <v>62</v>
      </c>
      <c r="X119" s="105">
        <v>60</v>
      </c>
      <c r="Y119" s="105">
        <v>79.599999999999994</v>
      </c>
      <c r="Z119" s="105">
        <v>82.1</v>
      </c>
      <c r="AA119" s="105">
        <v>88.2</v>
      </c>
      <c r="AB119" s="105">
        <v>95.6</v>
      </c>
      <c r="AC119" s="105">
        <v>89.7</v>
      </c>
      <c r="AD119" s="105">
        <v>101</v>
      </c>
      <c r="AE119" s="105">
        <v>95.6</v>
      </c>
      <c r="AF119" s="105">
        <v>98.1</v>
      </c>
      <c r="AG119" s="118"/>
      <c r="AH119" s="47">
        <f t="shared" si="31"/>
        <v>101</v>
      </c>
      <c r="AI119" s="48">
        <f t="shared" si="32"/>
        <v>57</v>
      </c>
    </row>
    <row r="120" spans="1:37" ht="15.75" thickBot="1" x14ac:dyDescent="0.3">
      <c r="A120" s="119" t="s">
        <v>128</v>
      </c>
      <c r="B120" s="105">
        <v>-15</v>
      </c>
      <c r="C120" s="105">
        <v>-14</v>
      </c>
      <c r="D120" s="105">
        <v>-12</v>
      </c>
      <c r="E120" s="105">
        <v>-17.7</v>
      </c>
      <c r="F120" s="105">
        <v>-15.8</v>
      </c>
      <c r="G120" s="105">
        <v>-16.100000000000001</v>
      </c>
      <c r="H120" s="105"/>
      <c r="I120" s="105">
        <v>-18.600000000000001</v>
      </c>
      <c r="J120" s="105">
        <v>-18.600000000000001</v>
      </c>
      <c r="K120" s="105">
        <v>32.1</v>
      </c>
      <c r="L120" s="105">
        <v>32.1</v>
      </c>
      <c r="M120" s="105">
        <v>-7.2</v>
      </c>
      <c r="N120" s="105">
        <v>-11.3</v>
      </c>
      <c r="O120" s="105">
        <v>-7.6</v>
      </c>
      <c r="P120" s="105">
        <v>-3.9</v>
      </c>
      <c r="Q120" s="105">
        <v>-9.5</v>
      </c>
      <c r="R120" s="105">
        <v>-13.6</v>
      </c>
      <c r="S120" s="105">
        <v>-11.6</v>
      </c>
      <c r="T120" s="105">
        <v>-6.1</v>
      </c>
      <c r="U120" s="105">
        <v>-19.100000000000001</v>
      </c>
      <c r="V120" s="105">
        <v>-18</v>
      </c>
      <c r="W120" s="105">
        <v>-17.2</v>
      </c>
      <c r="X120" s="105">
        <v>15</v>
      </c>
      <c r="Y120" s="105">
        <v>15</v>
      </c>
      <c r="Z120" s="105">
        <v>5</v>
      </c>
      <c r="AA120" s="105">
        <v>6</v>
      </c>
      <c r="AB120" s="105">
        <v>6.5</v>
      </c>
      <c r="AC120" s="105">
        <v>10.4</v>
      </c>
      <c r="AD120" s="105">
        <v>2.5</v>
      </c>
      <c r="AE120" s="105">
        <v>-7.2</v>
      </c>
      <c r="AF120" s="105">
        <v>-8.9</v>
      </c>
      <c r="AG120" s="118"/>
      <c r="AH120" s="47">
        <f t="shared" si="31"/>
        <v>32.1</v>
      </c>
      <c r="AI120" s="48">
        <f t="shared" si="32"/>
        <v>-19.100000000000001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82">SUM(B122:B226)</f>
        <v>0</v>
      </c>
      <c r="C227" s="136">
        <f t="shared" si="82"/>
        <v>0</v>
      </c>
      <c r="D227" s="136">
        <f t="shared" si="82"/>
        <v>0</v>
      </c>
      <c r="E227" s="136">
        <f t="shared" si="82"/>
        <v>0</v>
      </c>
      <c r="F227" s="136">
        <f t="shared" si="82"/>
        <v>0</v>
      </c>
      <c r="G227" s="136">
        <f t="shared" si="82"/>
        <v>0</v>
      </c>
      <c r="H227" s="136">
        <f t="shared" si="82"/>
        <v>0</v>
      </c>
      <c r="I227" s="136">
        <f t="shared" si="82"/>
        <v>0</v>
      </c>
      <c r="J227" s="136">
        <f t="shared" si="82"/>
        <v>0</v>
      </c>
      <c r="K227" s="136">
        <f t="shared" si="82"/>
        <v>0</v>
      </c>
      <c r="L227" s="136">
        <f t="shared" si="82"/>
        <v>0</v>
      </c>
      <c r="M227" s="136">
        <f t="shared" si="82"/>
        <v>0</v>
      </c>
      <c r="N227" s="136">
        <f t="shared" si="82"/>
        <v>0</v>
      </c>
      <c r="O227" s="136">
        <f t="shared" si="82"/>
        <v>0</v>
      </c>
      <c r="P227" s="136">
        <f t="shared" si="82"/>
        <v>0</v>
      </c>
      <c r="Q227" s="136">
        <f t="shared" si="82"/>
        <v>0</v>
      </c>
      <c r="R227" s="136">
        <f t="shared" si="82"/>
        <v>0</v>
      </c>
      <c r="S227" s="136">
        <f t="shared" si="82"/>
        <v>0</v>
      </c>
      <c r="T227" s="136">
        <f t="shared" si="82"/>
        <v>0</v>
      </c>
      <c r="U227" s="136">
        <f t="shared" si="82"/>
        <v>0</v>
      </c>
      <c r="V227" s="136">
        <f t="shared" si="82"/>
        <v>0</v>
      </c>
      <c r="W227" s="136">
        <f t="shared" si="82"/>
        <v>0</v>
      </c>
      <c r="X227" s="136">
        <f t="shared" si="82"/>
        <v>0</v>
      </c>
      <c r="Y227" s="136">
        <f t="shared" si="82"/>
        <v>0</v>
      </c>
      <c r="Z227" s="136">
        <f t="shared" si="82"/>
        <v>0</v>
      </c>
      <c r="AA227" s="136">
        <f t="shared" si="82"/>
        <v>0</v>
      </c>
      <c r="AB227" s="136">
        <f t="shared" si="82"/>
        <v>0</v>
      </c>
      <c r="AC227" s="136">
        <f t="shared" si="82"/>
        <v>0</v>
      </c>
      <c r="AD227" s="136">
        <f t="shared" si="82"/>
        <v>0</v>
      </c>
      <c r="AE227" s="136">
        <f t="shared" si="82"/>
        <v>0</v>
      </c>
      <c r="AF227" s="137">
        <f t="shared" si="82"/>
        <v>0</v>
      </c>
      <c r="AG227" s="138">
        <f t="shared" si="82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83">AF229</f>
        <v>0</v>
      </c>
      <c r="C229" s="140">
        <v>0.3</v>
      </c>
      <c r="D229" s="140">
        <f t="shared" ref="D229:P234" si="84">C229</f>
        <v>0.3</v>
      </c>
      <c r="E229" s="140">
        <f t="shared" si="84"/>
        <v>0.3</v>
      </c>
      <c r="F229" s="140">
        <f t="shared" si="84"/>
        <v>0.3</v>
      </c>
      <c r="G229" s="140">
        <f t="shared" si="84"/>
        <v>0.3</v>
      </c>
      <c r="H229" s="140">
        <f t="shared" si="84"/>
        <v>0.3</v>
      </c>
      <c r="I229" s="140">
        <f t="shared" si="84"/>
        <v>0.3</v>
      </c>
      <c r="J229" s="140">
        <f t="shared" si="84"/>
        <v>0.3</v>
      </c>
      <c r="K229" s="140">
        <f t="shared" si="84"/>
        <v>0.3</v>
      </c>
      <c r="L229" s="140">
        <f t="shared" si="84"/>
        <v>0.3</v>
      </c>
      <c r="M229" s="140">
        <f t="shared" si="84"/>
        <v>0.3</v>
      </c>
      <c r="N229" s="140">
        <f t="shared" si="84"/>
        <v>0.3</v>
      </c>
      <c r="O229" s="140">
        <f t="shared" si="84"/>
        <v>0.3</v>
      </c>
      <c r="P229" s="140">
        <f t="shared" si="84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83"/>
        <v>0</v>
      </c>
      <c r="C230" s="128">
        <v>0.4</v>
      </c>
      <c r="D230" s="128">
        <f t="shared" si="84"/>
        <v>0.4</v>
      </c>
      <c r="E230" s="128">
        <f t="shared" si="84"/>
        <v>0.4</v>
      </c>
      <c r="F230" s="128">
        <f t="shared" si="84"/>
        <v>0.4</v>
      </c>
      <c r="G230" s="128">
        <f t="shared" si="84"/>
        <v>0.4</v>
      </c>
      <c r="H230" s="128">
        <f t="shared" si="84"/>
        <v>0.4</v>
      </c>
      <c r="I230" s="128">
        <f t="shared" si="84"/>
        <v>0.4</v>
      </c>
      <c r="J230" s="128">
        <f t="shared" si="84"/>
        <v>0.4</v>
      </c>
      <c r="K230" s="128">
        <f t="shared" si="84"/>
        <v>0.4</v>
      </c>
      <c r="L230" s="128">
        <f t="shared" si="84"/>
        <v>0.4</v>
      </c>
      <c r="M230" s="128">
        <f t="shared" si="84"/>
        <v>0.4</v>
      </c>
      <c r="N230" s="128">
        <f t="shared" si="84"/>
        <v>0.4</v>
      </c>
      <c r="O230" s="128">
        <f t="shared" si="84"/>
        <v>0.4</v>
      </c>
      <c r="P230" s="128">
        <f t="shared" si="84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83"/>
        <v>0</v>
      </c>
      <c r="C231" s="128">
        <v>1.5</v>
      </c>
      <c r="D231" s="128">
        <f t="shared" si="84"/>
        <v>1.5</v>
      </c>
      <c r="E231" s="128">
        <f t="shared" si="84"/>
        <v>1.5</v>
      </c>
      <c r="F231" s="128">
        <f t="shared" si="84"/>
        <v>1.5</v>
      </c>
      <c r="G231" s="128">
        <f t="shared" si="84"/>
        <v>1.5</v>
      </c>
      <c r="H231" s="128">
        <f t="shared" si="84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84"/>
        <v>123.21900000000009</v>
      </c>
      <c r="K231" s="128">
        <f t="shared" ca="1" si="84"/>
        <v>123.21900000000009</v>
      </c>
      <c r="L231" s="128">
        <f t="shared" ca="1" si="84"/>
        <v>123.21900000000009</v>
      </c>
      <c r="M231" s="128">
        <f t="shared" ca="1" si="84"/>
        <v>119.19900000000008</v>
      </c>
      <c r="N231" s="128">
        <f t="shared" ca="1" si="84"/>
        <v>119.19900000000008</v>
      </c>
      <c r="O231" s="128">
        <f t="shared" ca="1" si="84"/>
        <v>119.19900000000008</v>
      </c>
      <c r="P231" s="128">
        <f t="shared" ca="1" si="84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83"/>
        <v>0</v>
      </c>
      <c r="C232" s="128">
        <v>0.3</v>
      </c>
      <c r="D232" s="128">
        <f t="shared" si="84"/>
        <v>0.3</v>
      </c>
      <c r="E232" s="128">
        <f t="shared" si="84"/>
        <v>0.3</v>
      </c>
      <c r="F232" s="128">
        <f t="shared" si="84"/>
        <v>0.3</v>
      </c>
      <c r="G232" s="128">
        <f t="shared" si="84"/>
        <v>0.3</v>
      </c>
      <c r="H232" s="128">
        <f t="shared" si="84"/>
        <v>0.3</v>
      </c>
      <c r="I232" s="128">
        <f t="shared" si="84"/>
        <v>0.3</v>
      </c>
      <c r="J232" s="128">
        <f t="shared" si="84"/>
        <v>0.3</v>
      </c>
      <c r="K232" s="128">
        <f t="shared" si="84"/>
        <v>0.3</v>
      </c>
      <c r="L232" s="128">
        <f t="shared" si="84"/>
        <v>0.3</v>
      </c>
      <c r="M232" s="128">
        <f t="shared" si="84"/>
        <v>0.3</v>
      </c>
      <c r="N232" s="128">
        <f t="shared" si="84"/>
        <v>0.3</v>
      </c>
      <c r="O232" s="128">
        <f t="shared" si="84"/>
        <v>0.3</v>
      </c>
      <c r="P232" s="128">
        <f t="shared" si="84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83"/>
        <v>0</v>
      </c>
      <c r="C233" s="128">
        <v>0.4</v>
      </c>
      <c r="D233" s="128">
        <f t="shared" si="84"/>
        <v>0.4</v>
      </c>
      <c r="E233" s="128">
        <f t="shared" si="84"/>
        <v>0.4</v>
      </c>
      <c r="F233" s="128">
        <f t="shared" si="84"/>
        <v>0.4</v>
      </c>
      <c r="G233" s="128">
        <f t="shared" si="84"/>
        <v>0.4</v>
      </c>
      <c r="H233" s="128">
        <f t="shared" si="84"/>
        <v>0.4</v>
      </c>
      <c r="I233" s="128">
        <f t="shared" si="84"/>
        <v>0.4</v>
      </c>
      <c r="J233" s="128">
        <f t="shared" si="84"/>
        <v>0.4</v>
      </c>
      <c r="K233" s="128">
        <f t="shared" si="84"/>
        <v>0.4</v>
      </c>
      <c r="L233" s="128">
        <f t="shared" si="84"/>
        <v>0.4</v>
      </c>
      <c r="M233" s="128">
        <f t="shared" si="84"/>
        <v>0.4</v>
      </c>
      <c r="N233" s="128">
        <f t="shared" si="84"/>
        <v>0.4</v>
      </c>
      <c r="O233" s="128">
        <f t="shared" si="84"/>
        <v>0.4</v>
      </c>
      <c r="P233" s="128">
        <f t="shared" si="84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83"/>
        <v>0</v>
      </c>
      <c r="C234" s="132">
        <v>0.64</v>
      </c>
      <c r="D234" s="132">
        <f t="shared" si="84"/>
        <v>0.64</v>
      </c>
      <c r="E234" s="132">
        <f t="shared" si="84"/>
        <v>0.64</v>
      </c>
      <c r="F234" s="132">
        <f t="shared" si="84"/>
        <v>0.64</v>
      </c>
      <c r="G234" s="132">
        <f t="shared" si="84"/>
        <v>0.64</v>
      </c>
      <c r="H234" s="132">
        <f t="shared" si="84"/>
        <v>0.64</v>
      </c>
      <c r="I234" s="132">
        <f t="shared" si="84"/>
        <v>0.64</v>
      </c>
      <c r="J234" s="132">
        <f t="shared" si="84"/>
        <v>0.64</v>
      </c>
      <c r="K234" s="132">
        <f t="shared" si="84"/>
        <v>0.64</v>
      </c>
      <c r="L234" s="132">
        <f t="shared" si="84"/>
        <v>0.64</v>
      </c>
      <c r="M234" s="132">
        <f t="shared" si="84"/>
        <v>0.64</v>
      </c>
      <c r="N234" s="132">
        <f t="shared" si="84"/>
        <v>0.64</v>
      </c>
      <c r="O234" s="132">
        <f t="shared" si="84"/>
        <v>0.64</v>
      </c>
      <c r="P234" s="132">
        <f t="shared" si="84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85">SUM(B229:B234)</f>
        <v>0</v>
      </c>
      <c r="C235" s="136">
        <f t="shared" si="85"/>
        <v>3.54</v>
      </c>
      <c r="D235" s="136">
        <f t="shared" si="85"/>
        <v>3.54</v>
      </c>
      <c r="E235" s="136">
        <f t="shared" si="85"/>
        <v>3.54</v>
      </c>
      <c r="F235" s="136">
        <f t="shared" si="85"/>
        <v>3.54</v>
      </c>
      <c r="G235" s="136">
        <f t="shared" si="85"/>
        <v>3.54</v>
      </c>
      <c r="H235" s="136">
        <f t="shared" si="85"/>
        <v>3.54</v>
      </c>
      <c r="I235" s="136">
        <f t="shared" ca="1" si="85"/>
        <v>121.23900000000009</v>
      </c>
      <c r="J235" s="136">
        <f t="shared" ca="1" si="85"/>
        <v>121.23900000000009</v>
      </c>
      <c r="K235" s="136">
        <f t="shared" ca="1" si="85"/>
        <v>121.23900000000009</v>
      </c>
      <c r="L235" s="136">
        <f t="shared" ca="1" si="85"/>
        <v>125.2590000000001</v>
      </c>
      <c r="M235" s="136">
        <f t="shared" ca="1" si="85"/>
        <v>121.23900000000009</v>
      </c>
      <c r="N235" s="136">
        <f t="shared" ca="1" si="85"/>
        <v>121.23900000000009</v>
      </c>
      <c r="O235" s="136">
        <f t="shared" ca="1" si="85"/>
        <v>121.23900000000009</v>
      </c>
      <c r="P235" s="136">
        <f t="shared" ca="1" si="85"/>
        <v>121.23900000000009</v>
      </c>
      <c r="Q235" s="136">
        <f t="shared" si="85"/>
        <v>0</v>
      </c>
      <c r="R235" s="136">
        <f t="shared" si="85"/>
        <v>0</v>
      </c>
      <c r="S235" s="136">
        <f t="shared" si="85"/>
        <v>0</v>
      </c>
      <c r="T235" s="136">
        <f t="shared" si="85"/>
        <v>0</v>
      </c>
      <c r="U235" s="136">
        <f t="shared" si="85"/>
        <v>0</v>
      </c>
      <c r="V235" s="136">
        <f t="shared" si="85"/>
        <v>0</v>
      </c>
      <c r="W235" s="136">
        <f t="shared" si="85"/>
        <v>0</v>
      </c>
      <c r="X235" s="136">
        <f t="shared" si="85"/>
        <v>0</v>
      </c>
      <c r="Y235" s="136">
        <f t="shared" si="85"/>
        <v>0</v>
      </c>
      <c r="Z235" s="136">
        <f t="shared" si="85"/>
        <v>0</v>
      </c>
      <c r="AA235" s="136">
        <f t="shared" si="85"/>
        <v>0</v>
      </c>
      <c r="AB235" s="136">
        <f t="shared" si="85"/>
        <v>0</v>
      </c>
      <c r="AC235" s="136">
        <f t="shared" si="85"/>
        <v>0</v>
      </c>
      <c r="AD235" s="136">
        <f t="shared" si="85"/>
        <v>0</v>
      </c>
      <c r="AE235" s="136">
        <f t="shared" si="85"/>
        <v>0</v>
      </c>
      <c r="AF235" s="136">
        <f t="shared" si="85"/>
        <v>0</v>
      </c>
      <c r="AG235" s="145">
        <f t="shared" si="85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2204.64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25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2080/06/25)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2080/06/25)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86">B91</f>
        <v>1987.74</v>
      </c>
      <c r="U249" s="170">
        <f t="shared" si="86"/>
        <v>2061.2399999999998</v>
      </c>
      <c r="V249" s="170">
        <f t="shared" si="86"/>
        <v>2053.64</v>
      </c>
      <c r="W249" s="170">
        <f t="shared" si="86"/>
        <v>2037.4399999999998</v>
      </c>
      <c r="X249" s="170">
        <f t="shared" si="86"/>
        <v>2037.34</v>
      </c>
      <c r="Y249" s="170">
        <f t="shared" si="86"/>
        <v>2047.64</v>
      </c>
      <c r="Z249" s="170">
        <f t="shared" si="86"/>
        <v>0</v>
      </c>
      <c r="AA249" s="170">
        <f t="shared" si="86"/>
        <v>1</v>
      </c>
      <c r="AB249" s="170">
        <f t="shared" si="86"/>
        <v>2032.24</v>
      </c>
      <c r="AC249" s="170">
        <f t="shared" si="86"/>
        <v>2122.2399999999998</v>
      </c>
      <c r="AD249" s="170">
        <f t="shared" si="86"/>
        <v>2045.24</v>
      </c>
      <c r="AE249" s="170">
        <f t="shared" si="86"/>
        <v>2145.94</v>
      </c>
      <c r="AF249" s="170">
        <f t="shared" si="86"/>
        <v>2204.64</v>
      </c>
      <c r="AG249" s="170">
        <f t="shared" si="86"/>
        <v>2207.14</v>
      </c>
      <c r="AH249" s="170">
        <f t="shared" si="86"/>
        <v>2203.4399999999996</v>
      </c>
      <c r="AI249" s="170">
        <f t="shared" si="86"/>
        <v>2188.2399999999998</v>
      </c>
      <c r="AJ249" s="170">
        <f t="shared" si="86"/>
        <v>2162.54</v>
      </c>
      <c r="AK249" s="170">
        <f t="shared" si="86"/>
        <v>2155.54</v>
      </c>
      <c r="AL249" s="170">
        <f t="shared" si="86"/>
        <v>2149.44</v>
      </c>
      <c r="AM249" s="170">
        <f t="shared" si="86"/>
        <v>2140.34</v>
      </c>
      <c r="AN249" s="170">
        <f t="shared" si="86"/>
        <v>2119.7400000000002</v>
      </c>
      <c r="AO249" s="170">
        <f t="shared" si="86"/>
        <v>2126.54</v>
      </c>
      <c r="AP249" s="170">
        <f t="shared" si="86"/>
        <v>2216.64</v>
      </c>
      <c r="AQ249" s="170">
        <f t="shared" si="86"/>
        <v>2278.84</v>
      </c>
      <c r="AR249" s="170">
        <f t="shared" si="86"/>
        <v>2280.44</v>
      </c>
      <c r="AS249" s="170">
        <f t="shared" si="86"/>
        <v>2211.14</v>
      </c>
      <c r="AT249" s="170">
        <f t="shared" si="86"/>
        <v>2196.84</v>
      </c>
      <c r="AU249" s="170">
        <f t="shared" si="86"/>
        <v>2191.2399999999998</v>
      </c>
      <c r="AV249" s="170">
        <f t="shared" si="86"/>
        <v>2164.9399999999996</v>
      </c>
      <c r="AW249" s="170">
        <f t="shared" si="86"/>
        <v>2085.7399999999998</v>
      </c>
      <c r="AX249" s="170">
        <f t="shared" si="86"/>
        <v>2064.34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87">C234</f>
        <v>0.64</v>
      </c>
      <c r="C270" s="173">
        <f t="shared" si="87"/>
        <v>0.64</v>
      </c>
      <c r="D270" s="173">
        <f t="shared" si="87"/>
        <v>0.64</v>
      </c>
      <c r="E270" s="173">
        <f t="shared" si="87"/>
        <v>0.64</v>
      </c>
      <c r="F270" s="173">
        <f t="shared" si="87"/>
        <v>0.64</v>
      </c>
      <c r="G270" s="173">
        <f t="shared" si="87"/>
        <v>0.64</v>
      </c>
      <c r="H270" s="173">
        <f t="shared" si="87"/>
        <v>0.64</v>
      </c>
      <c r="I270" s="173">
        <f t="shared" si="87"/>
        <v>0.64</v>
      </c>
      <c r="J270" s="173">
        <f t="shared" si="87"/>
        <v>0.64</v>
      </c>
      <c r="K270" s="173">
        <f t="shared" si="87"/>
        <v>0.64</v>
      </c>
      <c r="L270" s="173">
        <f t="shared" si="87"/>
        <v>0.64</v>
      </c>
      <c r="M270" s="173">
        <f t="shared" si="87"/>
        <v>0.64</v>
      </c>
      <c r="N270" s="173">
        <f t="shared" si="87"/>
        <v>0.64</v>
      </c>
      <c r="O270" s="173">
        <f t="shared" si="87"/>
        <v>0.64</v>
      </c>
      <c r="P270" s="173">
        <f t="shared" si="87"/>
        <v>0</v>
      </c>
      <c r="Q270" s="173">
        <f t="shared" si="87"/>
        <v>0</v>
      </c>
      <c r="R270" s="173">
        <f t="shared" si="87"/>
        <v>0</v>
      </c>
      <c r="S270" s="173">
        <f t="shared" si="87"/>
        <v>0</v>
      </c>
      <c r="T270" s="173">
        <f t="shared" si="87"/>
        <v>0</v>
      </c>
      <c r="U270" s="173">
        <f t="shared" si="87"/>
        <v>0</v>
      </c>
      <c r="V270" s="173">
        <f t="shared" si="87"/>
        <v>0</v>
      </c>
      <c r="W270" s="173">
        <f t="shared" si="87"/>
        <v>0</v>
      </c>
      <c r="X270" s="173">
        <f t="shared" si="87"/>
        <v>0</v>
      </c>
      <c r="Y270" s="173">
        <f t="shared" si="87"/>
        <v>0</v>
      </c>
      <c r="Z270" s="173">
        <f t="shared" si="87"/>
        <v>0</v>
      </c>
      <c r="AA270" s="173">
        <f t="shared" si="87"/>
        <v>0</v>
      </c>
      <c r="AB270" s="173">
        <f t="shared" si="87"/>
        <v>0</v>
      </c>
      <c r="AC270" s="173">
        <f t="shared" si="87"/>
        <v>0</v>
      </c>
      <c r="AD270" s="173">
        <f t="shared" si="87"/>
        <v>0</v>
      </c>
      <c r="AE270" s="173">
        <f t="shared" si="87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88">IF(B238&lt;100,"",B238-520)</f>
        <v/>
      </c>
      <c r="C271" s="174" t="str">
        <f t="shared" si="88"/>
        <v/>
      </c>
      <c r="D271" s="174" t="str">
        <f t="shared" si="88"/>
        <v/>
      </c>
      <c r="E271" s="174" t="str">
        <f t="shared" si="88"/>
        <v/>
      </c>
      <c r="F271" s="174" t="str">
        <f t="shared" si="88"/>
        <v/>
      </c>
      <c r="G271" s="174" t="str">
        <f t="shared" si="88"/>
        <v/>
      </c>
      <c r="H271" s="174" t="str">
        <f t="shared" si="88"/>
        <v/>
      </c>
      <c r="I271" s="174" t="str">
        <f t="shared" si="88"/>
        <v/>
      </c>
      <c r="J271" s="174" t="str">
        <f t="shared" si="88"/>
        <v/>
      </c>
      <c r="K271" s="174" t="str">
        <f t="shared" si="88"/>
        <v/>
      </c>
      <c r="L271" s="174" t="str">
        <f t="shared" si="88"/>
        <v/>
      </c>
      <c r="M271" s="174" t="str">
        <f t="shared" si="88"/>
        <v/>
      </c>
      <c r="N271" s="174" t="str">
        <f t="shared" si="88"/>
        <v/>
      </c>
      <c r="O271" s="174" t="str">
        <f t="shared" si="88"/>
        <v/>
      </c>
      <c r="P271" s="174" t="str">
        <f t="shared" si="88"/>
        <v/>
      </c>
      <c r="Q271" s="174" t="str">
        <f t="shared" si="88"/>
        <v/>
      </c>
      <c r="R271" s="174" t="str">
        <f t="shared" si="88"/>
        <v/>
      </c>
      <c r="S271" s="174" t="str">
        <f t="shared" si="88"/>
        <v/>
      </c>
      <c r="T271" s="174" t="str">
        <f t="shared" si="88"/>
        <v/>
      </c>
      <c r="U271" s="174" t="str">
        <f t="shared" si="88"/>
        <v/>
      </c>
      <c r="V271" s="174" t="str">
        <f t="shared" si="88"/>
        <v/>
      </c>
      <c r="W271" s="174" t="str">
        <f t="shared" si="88"/>
        <v/>
      </c>
      <c r="X271" s="174" t="str">
        <f t="shared" si="88"/>
        <v/>
      </c>
      <c r="Y271" s="174" t="str">
        <f t="shared" si="88"/>
        <v/>
      </c>
      <c r="Z271" s="174" t="str">
        <f t="shared" si="88"/>
        <v/>
      </c>
      <c r="AA271" s="174" t="str">
        <f t="shared" si="88"/>
        <v/>
      </c>
      <c r="AB271" s="174" t="str">
        <f t="shared" si="88"/>
        <v/>
      </c>
      <c r="AC271" s="174" t="str">
        <f t="shared" si="88"/>
        <v/>
      </c>
      <c r="AD271" s="174" t="str">
        <f t="shared" si="88"/>
        <v/>
      </c>
      <c r="AE271" s="174" t="str">
        <f t="shared" si="88"/>
        <v/>
      </c>
      <c r="AF271" s="174" t="str">
        <f t="shared" si="88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89">IF(B239&lt;100,"",B239-620)</f>
        <v/>
      </c>
      <c r="C272" s="174" t="str">
        <f t="shared" si="89"/>
        <v/>
      </c>
      <c r="D272" s="174" t="str">
        <f t="shared" si="89"/>
        <v/>
      </c>
      <c r="E272" s="174" t="str">
        <f t="shared" si="89"/>
        <v/>
      </c>
      <c r="F272" s="174" t="str">
        <f t="shared" si="89"/>
        <v/>
      </c>
      <c r="G272" s="174" t="str">
        <f t="shared" si="89"/>
        <v/>
      </c>
      <c r="H272" s="174" t="str">
        <f t="shared" si="89"/>
        <v/>
      </c>
      <c r="I272" s="174" t="str">
        <f t="shared" si="89"/>
        <v/>
      </c>
      <c r="J272" s="174" t="str">
        <f t="shared" si="89"/>
        <v/>
      </c>
      <c r="K272" s="174" t="str">
        <f t="shared" si="89"/>
        <v/>
      </c>
      <c r="L272" s="174" t="str">
        <f t="shared" si="89"/>
        <v/>
      </c>
      <c r="M272" s="174" t="str">
        <f t="shared" si="89"/>
        <v/>
      </c>
      <c r="N272" s="174" t="str">
        <f t="shared" si="89"/>
        <v/>
      </c>
      <c r="O272" s="174" t="str">
        <f t="shared" si="89"/>
        <v/>
      </c>
      <c r="P272" s="174" t="str">
        <f t="shared" si="89"/>
        <v/>
      </c>
      <c r="Q272" s="174" t="str">
        <f t="shared" si="89"/>
        <v/>
      </c>
      <c r="R272" s="174" t="str">
        <f t="shared" si="89"/>
        <v/>
      </c>
      <c r="S272" s="174" t="str">
        <f t="shared" si="89"/>
        <v/>
      </c>
      <c r="T272" s="174" t="str">
        <f t="shared" si="89"/>
        <v/>
      </c>
      <c r="U272" s="174" t="str">
        <f t="shared" si="89"/>
        <v/>
      </c>
      <c r="V272" s="174" t="str">
        <f t="shared" si="89"/>
        <v/>
      </c>
      <c r="W272" s="174" t="str">
        <f t="shared" si="89"/>
        <v/>
      </c>
      <c r="X272" s="174" t="str">
        <f t="shared" si="89"/>
        <v/>
      </c>
      <c r="Y272" s="174" t="str">
        <f t="shared" si="89"/>
        <v/>
      </c>
      <c r="Z272" s="174" t="str">
        <f t="shared" si="89"/>
        <v/>
      </c>
      <c r="AA272" s="174" t="str">
        <f t="shared" si="89"/>
        <v/>
      </c>
      <c r="AB272" s="174" t="str">
        <f t="shared" si="89"/>
        <v/>
      </c>
      <c r="AC272" s="174" t="str">
        <f t="shared" si="89"/>
        <v/>
      </c>
      <c r="AD272" s="174" t="str">
        <f t="shared" si="89"/>
        <v/>
      </c>
      <c r="AE272" s="174" t="str">
        <f t="shared" si="89"/>
        <v/>
      </c>
      <c r="AF272" s="174" t="str">
        <f t="shared" si="89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90">IF(B240&lt;100,"",B240-330)</f>
        <v/>
      </c>
      <c r="C273" s="174" t="str">
        <f t="shared" si="90"/>
        <v/>
      </c>
      <c r="D273" s="174" t="str">
        <f t="shared" si="90"/>
        <v/>
      </c>
      <c r="E273" s="174" t="str">
        <f t="shared" si="90"/>
        <v/>
      </c>
      <c r="F273" s="174" t="str">
        <f t="shared" si="90"/>
        <v/>
      </c>
      <c r="G273" s="174" t="str">
        <f t="shared" si="90"/>
        <v/>
      </c>
      <c r="H273" s="174" t="str">
        <f t="shared" si="90"/>
        <v/>
      </c>
      <c r="I273" s="174" t="str">
        <f t="shared" si="90"/>
        <v/>
      </c>
      <c r="J273" s="174" t="str">
        <f t="shared" si="90"/>
        <v/>
      </c>
      <c r="K273" s="174" t="str">
        <f t="shared" si="90"/>
        <v/>
      </c>
      <c r="L273" s="174" t="str">
        <f t="shared" si="90"/>
        <v/>
      </c>
      <c r="M273" s="174" t="str">
        <f t="shared" si="90"/>
        <v/>
      </c>
      <c r="N273" s="174" t="str">
        <f t="shared" si="90"/>
        <v/>
      </c>
      <c r="O273" s="174" t="str">
        <f t="shared" si="90"/>
        <v/>
      </c>
      <c r="P273" s="174" t="str">
        <f t="shared" si="90"/>
        <v/>
      </c>
      <c r="Q273" s="174" t="str">
        <f t="shared" si="90"/>
        <v/>
      </c>
      <c r="R273" s="174" t="str">
        <f t="shared" si="90"/>
        <v/>
      </c>
      <c r="S273" s="174" t="str">
        <f t="shared" si="90"/>
        <v/>
      </c>
      <c r="T273" s="174" t="str">
        <f t="shared" si="90"/>
        <v/>
      </c>
      <c r="U273" s="174" t="str">
        <f t="shared" si="90"/>
        <v/>
      </c>
      <c r="V273" s="174" t="str">
        <f t="shared" si="90"/>
        <v/>
      </c>
      <c r="W273" s="174" t="str">
        <f t="shared" si="90"/>
        <v/>
      </c>
      <c r="X273" s="174" t="str">
        <f t="shared" si="90"/>
        <v/>
      </c>
      <c r="Y273" s="174" t="str">
        <f t="shared" si="90"/>
        <v/>
      </c>
      <c r="Z273" s="174" t="str">
        <f t="shared" si="90"/>
        <v/>
      </c>
      <c r="AA273" s="174" t="str">
        <f t="shared" si="90"/>
        <v/>
      </c>
      <c r="AB273" s="174" t="str">
        <f t="shared" si="90"/>
        <v/>
      </c>
      <c r="AC273" s="174" t="str">
        <f t="shared" si="90"/>
        <v/>
      </c>
      <c r="AD273" s="174" t="str">
        <f t="shared" si="90"/>
        <v/>
      </c>
      <c r="AE273" s="174" t="str">
        <f t="shared" si="90"/>
        <v/>
      </c>
      <c r="AF273" s="174" t="str">
        <f t="shared" si="90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91">IF(B241&lt;100,"",B241-1500)</f>
        <v/>
      </c>
      <c r="C274" s="174" t="str">
        <f t="shared" si="91"/>
        <v/>
      </c>
      <c r="D274" s="174" t="str">
        <f t="shared" si="91"/>
        <v/>
      </c>
      <c r="E274" s="174" t="str">
        <f t="shared" si="91"/>
        <v/>
      </c>
      <c r="F274" s="174" t="str">
        <f t="shared" si="91"/>
        <v/>
      </c>
      <c r="G274" s="174" t="str">
        <f t="shared" si="91"/>
        <v/>
      </c>
      <c r="H274" s="174" t="str">
        <f t="shared" si="91"/>
        <v/>
      </c>
      <c r="I274" s="174" t="str">
        <f t="shared" si="91"/>
        <v/>
      </c>
      <c r="J274" s="174" t="str">
        <f t="shared" si="91"/>
        <v/>
      </c>
      <c r="K274" s="174" t="str">
        <f t="shared" si="91"/>
        <v/>
      </c>
      <c r="L274" s="174" t="str">
        <f t="shared" si="91"/>
        <v/>
      </c>
      <c r="M274" s="174" t="str">
        <f t="shared" si="91"/>
        <v/>
      </c>
      <c r="N274" s="174" t="str">
        <f t="shared" si="91"/>
        <v/>
      </c>
      <c r="O274" s="174" t="str">
        <f t="shared" si="91"/>
        <v/>
      </c>
      <c r="P274" s="174" t="str">
        <f t="shared" si="91"/>
        <v/>
      </c>
      <c r="Q274" s="174" t="str">
        <f t="shared" si="91"/>
        <v/>
      </c>
      <c r="R274" s="174" t="str">
        <f t="shared" si="91"/>
        <v/>
      </c>
      <c r="S274" s="174" t="str">
        <f t="shared" si="91"/>
        <v/>
      </c>
      <c r="T274" s="174" t="str">
        <f t="shared" si="91"/>
        <v/>
      </c>
      <c r="U274" s="174" t="str">
        <f t="shared" si="91"/>
        <v/>
      </c>
      <c r="V274" s="174" t="str">
        <f t="shared" si="91"/>
        <v/>
      </c>
      <c r="W274" s="174" t="str">
        <f t="shared" si="91"/>
        <v/>
      </c>
      <c r="X274" s="174" t="str">
        <f t="shared" si="91"/>
        <v/>
      </c>
      <c r="Y274" s="174" t="str">
        <f t="shared" si="91"/>
        <v/>
      </c>
      <c r="Z274" s="174" t="str">
        <f t="shared" si="91"/>
        <v/>
      </c>
      <c r="AA274" s="174" t="str">
        <f t="shared" si="91"/>
        <v/>
      </c>
      <c r="AB274" s="174" t="str">
        <f t="shared" si="91"/>
        <v/>
      </c>
      <c r="AC274" s="174" t="str">
        <f t="shared" si="91"/>
        <v/>
      </c>
      <c r="AD274" s="174" t="str">
        <f t="shared" si="91"/>
        <v/>
      </c>
      <c r="AE274" s="174" t="str">
        <f t="shared" si="91"/>
        <v/>
      </c>
      <c r="AF274" s="174" t="str">
        <f t="shared" si="91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905" priority="64">
      <formula>$AH11=0</formula>
    </cfRule>
  </conditionalFormatting>
  <conditionalFormatting sqref="B8 M8 S8 AB8">
    <cfRule type="expression" dxfId="904" priority="115">
      <formula>AND(C$9&gt;=14/24,C$9&lt;20/24)</formula>
    </cfRule>
    <cfRule type="expression" dxfId="903" priority="116">
      <formula>AND(C$9&gt;=8/24,C$9&lt;14/24)</formula>
    </cfRule>
    <cfRule type="expression" dxfId="902" priority="117">
      <formula>C$9&lt;8/24</formula>
    </cfRule>
  </conditionalFormatting>
  <conditionalFormatting sqref="B54:G54">
    <cfRule type="expression" dxfId="901" priority="38">
      <formula>B$9&gt;=20/24</formula>
    </cfRule>
    <cfRule type="expression" dxfId="900" priority="39">
      <formula>AND(B$9&gt;=14/24,B$9&lt;20/24)</formula>
    </cfRule>
    <cfRule type="expression" dxfId="899" priority="40">
      <formula>AND(B$9&gt;=8/24,B$9&lt;14/24)</formula>
    </cfRule>
    <cfRule type="expression" dxfId="898" priority="41">
      <formula>B$9&lt;8/24</formula>
    </cfRule>
  </conditionalFormatting>
  <conditionalFormatting sqref="B54:G66 H55:Q58 H59:T66 U61:X66">
    <cfRule type="expression" dxfId="897" priority="33">
      <formula>B54&gt;$AG54</formula>
    </cfRule>
  </conditionalFormatting>
  <conditionalFormatting sqref="B55:Q58 B59:T59">
    <cfRule type="expression" dxfId="896" priority="60">
      <formula>B$9&gt;=20/24</formula>
    </cfRule>
    <cfRule type="expression" dxfId="895" priority="61">
      <formula>AND(B$9&gt;=14/24,B$9&lt;20/24)</formula>
    </cfRule>
    <cfRule type="expression" dxfId="894" priority="62">
      <formula>AND(B$9&gt;=8/24,B$9&lt;14/24)</formula>
    </cfRule>
    <cfRule type="expression" dxfId="893" priority="63">
      <formula>B$9&lt;8/24</formula>
    </cfRule>
  </conditionalFormatting>
  <conditionalFormatting sqref="B60:T60">
    <cfRule type="expression" dxfId="892" priority="51">
      <formula>B$9&gt;=20/24</formula>
    </cfRule>
    <cfRule type="expression" dxfId="891" priority="52">
      <formula>AND(B$9&gt;=14/24,B$9&lt;20/24)</formula>
    </cfRule>
    <cfRule type="expression" dxfId="890" priority="53">
      <formula>AND(B$9&gt;=8/24,B$9&lt;14/24)</formula>
    </cfRule>
    <cfRule type="expression" dxfId="889" priority="54">
      <formula>B$9&lt;8/24</formula>
    </cfRule>
  </conditionalFormatting>
  <conditionalFormatting sqref="B61:AF66">
    <cfRule type="expression" dxfId="888" priority="34">
      <formula>B$9&gt;=20/24</formula>
    </cfRule>
    <cfRule type="expression" dxfId="887" priority="35">
      <formula>AND(B$9&gt;=14/24,B$9&lt;20/24)</formula>
    </cfRule>
    <cfRule type="expression" dxfId="886" priority="36">
      <formula>AND(B$9&gt;=8/24,B$9&lt;14/24)</formula>
    </cfRule>
    <cfRule type="expression" dxfId="885" priority="37">
      <formula>B$9&lt;8/24</formula>
    </cfRule>
  </conditionalFormatting>
  <conditionalFormatting sqref="B9:AF45">
    <cfRule type="expression" dxfId="884" priority="23">
      <formula>B$9&gt;=20/24</formula>
    </cfRule>
    <cfRule type="expression" dxfId="883" priority="24">
      <formula>AND(B$9&gt;=14/24,B$9&lt;20/24)</formula>
    </cfRule>
    <cfRule type="expression" dxfId="882" priority="25">
      <formula>AND(B$9&gt;=8/24,B$9&lt;14/24)</formula>
    </cfRule>
    <cfRule type="expression" dxfId="881" priority="26">
      <formula>B$9&lt;8/24</formula>
    </cfRule>
  </conditionalFormatting>
  <conditionalFormatting sqref="B11:AF46">
    <cfRule type="expression" dxfId="880" priority="22">
      <formula>B11&gt;$AG11</formula>
    </cfRule>
  </conditionalFormatting>
  <conditionalFormatting sqref="B46:AF46">
    <cfRule type="expression" dxfId="879" priority="18">
      <formula>B$9&gt;=20/24</formula>
    </cfRule>
    <cfRule type="expression" dxfId="878" priority="19">
      <formula>AND(B$9&gt;=14/24,B$9&lt;20/24)</formula>
    </cfRule>
    <cfRule type="expression" dxfId="877" priority="20">
      <formula>AND(B$9&gt;=8/24,B$9&lt;14/24)</formula>
    </cfRule>
    <cfRule type="expression" dxfId="876" priority="21">
      <formula>B$9&lt;8/24</formula>
    </cfRule>
  </conditionalFormatting>
  <conditionalFormatting sqref="B47:AF47">
    <cfRule type="expression" dxfId="875" priority="32">
      <formula>B47&gt;$AG47</formula>
    </cfRule>
  </conditionalFormatting>
  <conditionalFormatting sqref="B47:AF49">
    <cfRule type="expression" dxfId="874" priority="28">
      <formula>B$9&gt;=20/24</formula>
    </cfRule>
    <cfRule type="expression" dxfId="873" priority="29">
      <formula>AND(B$9&gt;=14/24,B$9&lt;20/24)</formula>
    </cfRule>
    <cfRule type="expression" dxfId="872" priority="30">
      <formula>AND(B$9&gt;=8/24,B$9&lt;14/24)</formula>
    </cfRule>
    <cfRule type="expression" dxfId="871" priority="31">
      <formula>B$9&lt;8/24</formula>
    </cfRule>
  </conditionalFormatting>
  <conditionalFormatting sqref="B48:AF53">
    <cfRule type="expression" dxfId="870" priority="27">
      <formula>B48&gt;$AG48</formula>
    </cfRule>
  </conditionalFormatting>
  <conditionalFormatting sqref="B51:AF53">
    <cfRule type="expression" dxfId="869" priority="47">
      <formula>B$9&gt;=20/24</formula>
    </cfRule>
    <cfRule type="expression" dxfId="868" priority="48">
      <formula>AND(B$9&gt;=14/24,B$9&lt;20/24)</formula>
    </cfRule>
    <cfRule type="expression" dxfId="867" priority="49">
      <formula>AND(B$9&gt;=8/24,B$9&lt;14/24)</formula>
    </cfRule>
    <cfRule type="expression" dxfId="866" priority="50">
      <formula>B$9&lt;8/24</formula>
    </cfRule>
  </conditionalFormatting>
  <conditionalFormatting sqref="B69:AF71">
    <cfRule type="expression" dxfId="865" priority="55">
      <formula>B69&gt;$AG69</formula>
    </cfRule>
    <cfRule type="expression" dxfId="864" priority="56">
      <formula>B$9&gt;=20/24</formula>
    </cfRule>
    <cfRule type="expression" dxfId="863" priority="57">
      <formula>AND(B$9&gt;=14/24,B$9&lt;20/24)</formula>
    </cfRule>
    <cfRule type="expression" dxfId="862" priority="58">
      <formula>AND(B$9&gt;=8/24,B$9&lt;14/24)</formula>
    </cfRule>
    <cfRule type="expression" dxfId="861" priority="59">
      <formula>B$9&lt;8/24</formula>
    </cfRule>
  </conditionalFormatting>
  <conditionalFormatting sqref="B73:AF91">
    <cfRule type="expression" dxfId="860" priority="1">
      <formula>B$9&gt;=20/24</formula>
    </cfRule>
    <cfRule type="expression" dxfId="859" priority="2">
      <formula>AND(B$9&gt;=14/24,B$9&lt;20/24)</formula>
    </cfRule>
    <cfRule type="expression" dxfId="858" priority="3">
      <formula>AND(B$9&gt;=8/24,B$9&lt;14/24)</formula>
    </cfRule>
    <cfRule type="expression" dxfId="857" priority="4">
      <formula>B$9&lt;8/24</formula>
    </cfRule>
  </conditionalFormatting>
  <conditionalFormatting sqref="B111:AF120">
    <cfRule type="expression" dxfId="856" priority="14">
      <formula>B$9&gt;=20/24</formula>
    </cfRule>
    <cfRule type="expression" dxfId="855" priority="15">
      <formula>AND(B$9&gt;=14/24,B$9&lt;20/24)</formula>
    </cfRule>
    <cfRule type="expression" dxfId="854" priority="16">
      <formula>AND(B$9&gt;=8/24,B$9&lt;14/24)</formula>
    </cfRule>
    <cfRule type="expression" dxfId="853" priority="17">
      <formula>B$9&lt;8/24</formula>
    </cfRule>
  </conditionalFormatting>
  <conditionalFormatting sqref="B227:AF227 D229:AF230 B229:B235 D231:H231 J231:AF231 D232:AF235 U248:AF248">
    <cfRule type="expression" dxfId="852" priority="108">
      <formula>B$9&gt;=20/24</formula>
    </cfRule>
    <cfRule type="expression" dxfId="851" priority="109">
      <formula>AND(B$9&gt;=14/24,B$9&lt;20/24)</formula>
    </cfRule>
    <cfRule type="expression" dxfId="850" priority="110">
      <formula>AND(B$9&gt;=8/24,B$9&lt;14/24)</formula>
    </cfRule>
    <cfRule type="expression" dxfId="849" priority="111">
      <formula>B$9&lt;8/24</formula>
    </cfRule>
  </conditionalFormatting>
  <conditionalFormatting sqref="B72:AG72 B67:AG68">
    <cfRule type="expression" dxfId="848" priority="42">
      <formula>B67&gt;$AG67</formula>
    </cfRule>
  </conditionalFormatting>
  <conditionalFormatting sqref="B93:AF109 B72:AG72">
    <cfRule type="expression" dxfId="847" priority="43">
      <formula>B$9&gt;=20/24</formula>
    </cfRule>
    <cfRule type="expression" dxfId="846" priority="44">
      <formula>AND(B$9&gt;=14/24,B$9&lt;20/24)</formula>
    </cfRule>
    <cfRule type="expression" dxfId="845" priority="45">
      <formula>AND(B$9&gt;=8/24,B$9&lt;14/24)</formula>
    </cfRule>
    <cfRule type="expression" dxfId="844" priority="46">
      <formula>B$9&lt;8/24</formula>
    </cfRule>
  </conditionalFormatting>
  <conditionalFormatting sqref="R55:T58 U55:AF66">
    <cfRule type="expression" dxfId="843" priority="5">
      <formula>R55&gt;$AG55</formula>
    </cfRule>
  </conditionalFormatting>
  <conditionalFormatting sqref="H54:AG54">
    <cfRule type="expression" dxfId="842" priority="76">
      <formula>H54&gt;$AG54</formula>
    </cfRule>
    <cfRule type="expression" dxfId="841" priority="77">
      <formula>H$9&gt;=20/24</formula>
    </cfRule>
    <cfRule type="expression" dxfId="840" priority="78">
      <formula>AND(H$9&gt;=14/24,H$9&lt;20/24)</formula>
    </cfRule>
    <cfRule type="expression" dxfId="839" priority="79">
      <formula>AND(H$9&gt;=8/24,H$9&lt;14/24)</formula>
    </cfRule>
    <cfRule type="expression" dxfId="838" priority="80">
      <formula>H$9&lt;8/24</formula>
    </cfRule>
  </conditionalFormatting>
  <conditionalFormatting sqref="R55:T58">
    <cfRule type="expression" dxfId="837" priority="93">
      <formula>R$9&gt;=20/24</formula>
    </cfRule>
    <cfRule type="expression" dxfId="836" priority="94">
      <formula>AND(R$9&gt;=14/24,R$9&lt;20/24)</formula>
    </cfRule>
    <cfRule type="expression" dxfId="835" priority="95">
      <formula>AND(R$9&gt;=8/24,R$9&lt;14/24)</formula>
    </cfRule>
    <cfRule type="expression" dxfId="834" priority="96">
      <formula>R$9&lt;8/24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833" priority="114">
      <formula>C$9&gt;=20/24</formula>
    </cfRule>
  </conditionalFormatting>
  <conditionalFormatting sqref="S8">
    <cfRule type="expression" dxfId="832" priority="101">
      <formula>U$9&gt;=20/24</formula>
    </cfRule>
    <cfRule type="expression" dxfId="831" priority="102">
      <formula>AND(U$9&gt;=14/24,U$9&lt;20/24)</formula>
    </cfRule>
    <cfRule type="expression" dxfId="830" priority="103">
      <formula>AND(U$9&gt;=8/24,U$9&lt;14/24)</formula>
    </cfRule>
    <cfRule type="expression" dxfId="829" priority="104">
      <formula>U$9&lt;8/24</formula>
    </cfRule>
  </conditionalFormatting>
  <conditionalFormatting sqref="U55:AF60">
    <cfRule type="expression" dxfId="828" priority="10">
      <formula>U$9&gt;=20/24</formula>
    </cfRule>
    <cfRule type="expression" dxfId="827" priority="11">
      <formula>AND(U$9&gt;=14/24,U$9&lt;20/24)</formula>
    </cfRule>
    <cfRule type="expression" dxfId="826" priority="12">
      <formula>AND(U$9&gt;=8/24,U$9&lt;14/24)</formula>
    </cfRule>
    <cfRule type="expression" dxfId="825" priority="13">
      <formula>U$9&lt;8/24</formula>
    </cfRule>
  </conditionalFormatting>
  <conditionalFormatting sqref="T248">
    <cfRule type="expression" dxfId="824" priority="126">
      <formula>AX$9&gt;=20/24</formula>
    </cfRule>
    <cfRule type="expression" dxfId="823" priority="127">
      <formula>AND(AX$9&gt;=14/24,AX$9&lt;20/24)</formula>
    </cfRule>
    <cfRule type="expression" dxfId="822" priority="128">
      <formula>AND(AX$9&gt;=8/24,AX$9&lt;14/24)</formula>
    </cfRule>
    <cfRule type="expression" dxfId="821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820" priority="97">
      <formula>AD$9&gt;=20/24</formula>
    </cfRule>
    <cfRule type="expression" dxfId="819" priority="98">
      <formula>AND(AD$9&gt;=14/24,AD$9&lt;20/24)</formula>
    </cfRule>
    <cfRule type="expression" dxfId="818" priority="99">
      <formula>AND(AD$9&gt;=8/24,AD$9&lt;14/24)</formula>
    </cfRule>
    <cfRule type="expression" dxfId="817" priority="100">
      <formula>AD$9&lt;8/24</formula>
    </cfRule>
  </conditionalFormatting>
  <conditionalFormatting sqref="AG50">
    <cfRule type="expression" dxfId="816" priority="84">
      <formula>AG50&gt;$AG50</formula>
    </cfRule>
  </conditionalFormatting>
  <conditionalFormatting sqref="AG89">
    <cfRule type="expression" dxfId="815" priority="85">
      <formula>AG$9&gt;=20/24</formula>
    </cfRule>
    <cfRule type="expression" dxfId="814" priority="86">
      <formula>AND(AG$9&gt;=14/24,AG$9&lt;20/24)</formula>
    </cfRule>
    <cfRule type="expression" dxfId="813" priority="87">
      <formula>AND(AG$9&gt;=8/24,AG$9&lt;14/24)</formula>
    </cfRule>
    <cfRule type="expression" dxfId="812" priority="88">
      <formula>AG$9&lt;8/24</formula>
    </cfRule>
  </conditionalFormatting>
  <conditionalFormatting sqref="AG248">
    <cfRule type="expression" dxfId="811" priority="118">
      <formula>B$9&gt;=20/24</formula>
    </cfRule>
    <cfRule type="expression" dxfId="810" priority="119">
      <formula>AND(B$9&gt;=14/24,B$9&lt;20/24)</formula>
    </cfRule>
    <cfRule type="expression" dxfId="809" priority="120">
      <formula>AND(B$9&gt;=8/24,B$9&lt;14/24)</formula>
    </cfRule>
    <cfRule type="expression" dxfId="808" priority="121">
      <formula>B$9&lt;8/24</formula>
    </cfRule>
  </conditionalFormatting>
  <conditionalFormatting sqref="AH248:AX248">
    <cfRule type="expression" dxfId="807" priority="122">
      <formula>AG$9&gt;=20/24</formula>
    </cfRule>
    <cfRule type="expression" dxfId="806" priority="123">
      <formula>AND(AG$9&gt;=14/24,AG$9&lt;20/24)</formula>
    </cfRule>
    <cfRule type="expression" dxfId="805" priority="124">
      <formula>AND(AG$9&gt;=8/24,AG$9&lt;14/24)</formula>
    </cfRule>
    <cfRule type="expression" dxfId="804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803" priority="131">
      <formula>AJ$9&gt;=20/24</formula>
    </cfRule>
    <cfRule type="expression" dxfId="802" priority="132">
      <formula>AND(AJ$9&gt;=14/24,AJ$9&lt;20/24)</formula>
    </cfRule>
    <cfRule type="expression" dxfId="801" priority="133">
      <formula>AND(AJ$9&gt;=8/24,AJ$9&lt;14/24)</formula>
    </cfRule>
    <cfRule type="expression" dxfId="800" priority="134">
      <formula>AJ$9&lt;8/24</formula>
    </cfRule>
  </conditionalFormatting>
  <conditionalFormatting sqref="AL80:AN80 AL86:AN86">
    <cfRule type="expression" dxfId="799" priority="72">
      <formula>AL$9&gt;=20/24</formula>
    </cfRule>
    <cfRule type="expression" dxfId="798" priority="73">
      <formula>AND(AL$9&gt;=14/24,AL$9&lt;20/24)</formula>
    </cfRule>
    <cfRule type="expression" dxfId="797" priority="74">
      <formula>AND(AL$9&gt;=8/24,AL$9&lt;14/24)</formula>
    </cfRule>
    <cfRule type="expression" dxfId="796" priority="75">
      <formula>AL$9&lt;8/24</formula>
    </cfRule>
  </conditionalFormatting>
  <conditionalFormatting sqref="AN81:AN84">
    <cfRule type="expression" dxfId="795" priority="68">
      <formula>AN$9&gt;=20/24</formula>
    </cfRule>
    <cfRule type="expression" dxfId="794" priority="69">
      <formula>AND(AN$9&gt;=14/24,AN$9&lt;20/24)</formula>
    </cfRule>
    <cfRule type="expression" dxfId="793" priority="70">
      <formula>AND(AN$9&gt;=8/24,AN$9&lt;14/24)</formula>
    </cfRule>
    <cfRule type="expression" dxfId="792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6CF22-A9D7-4304-A954-15D742EBD221}">
  <sheetPr codeName="Sheet50"/>
  <dimension ref="A1:CJ281"/>
  <sheetViews>
    <sheetView workbookViewId="0">
      <pane xSplit="1" ySplit="10" topLeftCell="L119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4" width="6.85546875" style="1" customWidth="1"/>
    <col min="25" max="25" width="7.28515625" style="1" customWidth="1"/>
    <col min="26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2080/06/26</v>
      </c>
      <c r="C4" s="201"/>
      <c r="D4" s="201"/>
      <c r="E4" s="202" t="str">
        <f ca="1">"2080/"&amp;"06/"&amp;INT(MID(CELL("filename",G6),FIND("]",CELL("filename",G6))+1,200))</f>
        <v>2080/06/26</v>
      </c>
      <c r="F4" s="202"/>
      <c r="G4" s="202"/>
      <c r="H4" s="202" t="str">
        <f ca="1">TEXT(E4,"dddd")</f>
        <v>Wednesday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1.2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2172MW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2090.84</v>
      </c>
      <c r="C7" s="35">
        <f t="shared" si="1"/>
        <v>2088.94</v>
      </c>
      <c r="D7" s="35">
        <f t="shared" si="1"/>
        <v>2057.44</v>
      </c>
      <c r="E7" s="35">
        <f t="shared" si="1"/>
        <v>2042.9399999999998</v>
      </c>
      <c r="F7" s="35">
        <f t="shared" si="1"/>
        <v>2032.9399999999998</v>
      </c>
      <c r="G7" s="35">
        <f t="shared" si="1"/>
        <v>2035.54</v>
      </c>
      <c r="H7" s="35">
        <f t="shared" si="1"/>
        <v>2063.64</v>
      </c>
      <c r="I7" s="35">
        <f t="shared" si="1"/>
        <v>2077.64</v>
      </c>
      <c r="J7" s="35">
        <f t="shared" si="1"/>
        <v>2096.54</v>
      </c>
      <c r="K7" s="35">
        <f t="shared" si="1"/>
        <v>2170.84</v>
      </c>
      <c r="L7" s="35">
        <f t="shared" si="1"/>
        <v>2172.2400000000002</v>
      </c>
      <c r="M7" s="35">
        <f t="shared" si="1"/>
        <v>2172.2400000000002</v>
      </c>
      <c r="N7" s="35">
        <f>N91</f>
        <v>2108.2400000000002</v>
      </c>
      <c r="O7" s="35">
        <f t="shared" si="1"/>
        <v>2120.2400000000002</v>
      </c>
      <c r="P7" s="35">
        <f t="shared" si="1"/>
        <v>2120.2400000000002</v>
      </c>
      <c r="Q7" s="35">
        <f t="shared" si="1"/>
        <v>2120.2400000000002</v>
      </c>
      <c r="R7" s="35">
        <f t="shared" si="1"/>
        <v>2135.2400000000002</v>
      </c>
      <c r="S7" s="35">
        <f t="shared" si="1"/>
        <v>2087.64</v>
      </c>
      <c r="T7" s="35">
        <f t="shared" si="1"/>
        <v>2078.64</v>
      </c>
      <c r="U7" s="35">
        <f t="shared" si="1"/>
        <v>2032.04</v>
      </c>
      <c r="V7" s="35">
        <f t="shared" si="1"/>
        <v>2001.44</v>
      </c>
      <c r="W7" s="35">
        <f t="shared" si="1"/>
        <v>2101.54</v>
      </c>
      <c r="X7" s="35">
        <f t="shared" si="1"/>
        <v>2184.54</v>
      </c>
      <c r="Y7" s="35">
        <f t="shared" si="1"/>
        <v>2255.4399999999996</v>
      </c>
      <c r="Z7" s="35">
        <f t="shared" si="1"/>
        <v>2238.34</v>
      </c>
      <c r="AA7" s="35">
        <f t="shared" si="1"/>
        <v>2197.94</v>
      </c>
      <c r="AB7" s="35">
        <f t="shared" si="1"/>
        <v>2184.9400000000005</v>
      </c>
      <c r="AC7" s="35">
        <f t="shared" si="1"/>
        <v>2180.14</v>
      </c>
      <c r="AD7" s="35">
        <f t="shared" si="1"/>
        <v>3.54</v>
      </c>
      <c r="AE7" s="35">
        <f t="shared" si="1"/>
        <v>2160.25</v>
      </c>
      <c r="AF7" s="35">
        <f t="shared" si="1"/>
        <v>2095.7400000000002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90.4</v>
      </c>
      <c r="C11" s="45">
        <v>90.4</v>
      </c>
      <c r="D11" s="45">
        <v>90.4</v>
      </c>
      <c r="E11" s="45">
        <v>90.4</v>
      </c>
      <c r="F11" s="45">
        <v>90.4</v>
      </c>
      <c r="G11" s="45">
        <v>90.4</v>
      </c>
      <c r="H11" s="45">
        <v>90.4</v>
      </c>
      <c r="I11" s="45">
        <v>90.4</v>
      </c>
      <c r="J11" s="45">
        <v>90.4</v>
      </c>
      <c r="K11" s="45">
        <v>90.4</v>
      </c>
      <c r="L11" s="45">
        <v>90.4</v>
      </c>
      <c r="M11" s="45">
        <v>90.4</v>
      </c>
      <c r="N11" s="45">
        <v>90.4</v>
      </c>
      <c r="O11" s="45">
        <v>90.4</v>
      </c>
      <c r="P11" s="45">
        <v>90.4</v>
      </c>
      <c r="Q11" s="45">
        <v>90.4</v>
      </c>
      <c r="R11" s="45">
        <v>90.4</v>
      </c>
      <c r="S11" s="45">
        <v>90.4</v>
      </c>
      <c r="T11" s="45">
        <v>90.4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>
        <v>90.4</v>
      </c>
      <c r="AB11" s="45">
        <v>90.4</v>
      </c>
      <c r="AC11" s="45">
        <v>90.4</v>
      </c>
      <c r="AD11" s="45" t="s">
        <v>268</v>
      </c>
      <c r="AE11" s="45">
        <v>90.41</v>
      </c>
      <c r="AF11" s="45">
        <v>90.4</v>
      </c>
      <c r="AG11" s="46">
        <v>86</v>
      </c>
      <c r="AH11" s="47">
        <f t="shared" ref="AH11:AH76" si="2">MAX(B11:AF11)</f>
        <v>90.41</v>
      </c>
      <c r="AI11" s="48">
        <f t="shared" ref="AI11:AI76" si="3">MIN(B11:AF11)</f>
        <v>90.4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8</v>
      </c>
      <c r="C12" s="45">
        <v>8</v>
      </c>
      <c r="D12" s="45">
        <v>8</v>
      </c>
      <c r="E12" s="45">
        <v>8</v>
      </c>
      <c r="F12" s="45">
        <v>8</v>
      </c>
      <c r="G12" s="45">
        <v>8</v>
      </c>
      <c r="H12" s="45">
        <v>8</v>
      </c>
      <c r="I12" s="45">
        <v>8</v>
      </c>
      <c r="J12" s="45">
        <v>8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 t="s">
        <v>269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8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54.2</v>
      </c>
      <c r="C13" s="45">
        <v>54.2</v>
      </c>
      <c r="D13" s="45">
        <v>54.2</v>
      </c>
      <c r="E13" s="45">
        <v>54.2</v>
      </c>
      <c r="F13" s="45">
        <v>54.2</v>
      </c>
      <c r="G13" s="45">
        <v>54.2</v>
      </c>
      <c r="H13" s="45">
        <v>54.2</v>
      </c>
      <c r="I13" s="45">
        <v>54.2</v>
      </c>
      <c r="J13" s="45">
        <v>54.2</v>
      </c>
      <c r="K13" s="45">
        <v>54.2</v>
      </c>
      <c r="L13" s="45">
        <v>54.2</v>
      </c>
      <c r="M13" s="45">
        <v>54.2</v>
      </c>
      <c r="N13" s="45">
        <v>54.2</v>
      </c>
      <c r="O13" s="45">
        <v>54.2</v>
      </c>
      <c r="P13" s="45">
        <v>54.2</v>
      </c>
      <c r="Q13" s="45">
        <v>54.2</v>
      </c>
      <c r="R13" s="45">
        <v>54.2</v>
      </c>
      <c r="S13" s="45">
        <v>54.2</v>
      </c>
      <c r="T13" s="45">
        <v>54.2</v>
      </c>
      <c r="U13" s="45">
        <v>54.2</v>
      </c>
      <c r="V13" s="45">
        <v>54.2</v>
      </c>
      <c r="W13" s="45">
        <v>54.2</v>
      </c>
      <c r="X13" s="45">
        <v>54.2</v>
      </c>
      <c r="Y13" s="45">
        <v>54.2</v>
      </c>
      <c r="Z13" s="45">
        <v>54.2</v>
      </c>
      <c r="AA13" s="45">
        <v>54.2</v>
      </c>
      <c r="AB13" s="45">
        <v>54.2</v>
      </c>
      <c r="AC13" s="45">
        <v>54.3</v>
      </c>
      <c r="AD13" s="45" t="s">
        <v>268</v>
      </c>
      <c r="AE13" s="45">
        <v>54.3</v>
      </c>
      <c r="AF13" s="45">
        <v>52.2</v>
      </c>
      <c r="AG13" s="46">
        <v>52.4</v>
      </c>
      <c r="AH13" s="47">
        <f t="shared" si="2"/>
        <v>54.3</v>
      </c>
      <c r="AI13" s="48">
        <f t="shared" si="3"/>
        <v>52.2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45">
        <v>50.5</v>
      </c>
      <c r="C14" s="45">
        <v>50.8</v>
      </c>
      <c r="D14" s="45">
        <v>50.4</v>
      </c>
      <c r="E14" s="45">
        <v>50.4</v>
      </c>
      <c r="F14" s="45">
        <v>50.4</v>
      </c>
      <c r="G14" s="45">
        <v>50.4</v>
      </c>
      <c r="H14" s="45">
        <v>50.4</v>
      </c>
      <c r="I14" s="45">
        <v>50.4</v>
      </c>
      <c r="J14" s="45">
        <v>50.4</v>
      </c>
      <c r="K14" s="45">
        <v>50.4</v>
      </c>
      <c r="L14" s="45">
        <v>50.4</v>
      </c>
      <c r="M14" s="45">
        <v>50.4</v>
      </c>
      <c r="N14" s="45">
        <v>50.4</v>
      </c>
      <c r="O14" s="45">
        <v>50.4</v>
      </c>
      <c r="P14" s="45">
        <v>50.4</v>
      </c>
      <c r="Q14" s="45">
        <v>50.4</v>
      </c>
      <c r="R14" s="45">
        <v>50.4</v>
      </c>
      <c r="S14" s="45">
        <v>50.4</v>
      </c>
      <c r="T14" s="45">
        <v>50.4</v>
      </c>
      <c r="U14" s="45">
        <v>50.4</v>
      </c>
      <c r="V14" s="45">
        <v>50.4</v>
      </c>
      <c r="W14" s="45">
        <v>50.4</v>
      </c>
      <c r="X14" s="45">
        <v>50.4</v>
      </c>
      <c r="Y14" s="58">
        <v>50.4</v>
      </c>
      <c r="Z14" s="58">
        <v>50.4</v>
      </c>
      <c r="AA14" s="58">
        <v>50.4</v>
      </c>
      <c r="AB14" s="58">
        <v>50.7</v>
      </c>
      <c r="AC14" s="58">
        <v>50.5</v>
      </c>
      <c r="AD14" s="45" t="s">
        <v>266</v>
      </c>
      <c r="AE14" s="58">
        <v>50.6</v>
      </c>
      <c r="AF14" s="58">
        <v>50.5</v>
      </c>
      <c r="AG14" s="49">
        <v>50</v>
      </c>
      <c r="AH14" s="47">
        <f t="shared" si="2"/>
        <v>50.8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37.299999999999997</v>
      </c>
      <c r="C15" s="45">
        <v>37.4</v>
      </c>
      <c r="D15" s="45">
        <v>37.299999999999997</v>
      </c>
      <c r="E15" s="45">
        <v>37.299999999999997</v>
      </c>
      <c r="F15" s="45">
        <v>37.299999999999997</v>
      </c>
      <c r="G15" s="45">
        <v>37.299999999999997</v>
      </c>
      <c r="H15" s="45">
        <v>37.299999999999997</v>
      </c>
      <c r="I15" s="45">
        <v>46.4</v>
      </c>
      <c r="J15" s="45">
        <v>46.4</v>
      </c>
      <c r="K15" s="45">
        <v>46.4</v>
      </c>
      <c r="L15" s="45">
        <v>46.4</v>
      </c>
      <c r="M15" s="45">
        <v>46.4</v>
      </c>
      <c r="N15" s="45">
        <v>46.4</v>
      </c>
      <c r="O15" s="45">
        <v>46.4</v>
      </c>
      <c r="P15" s="45">
        <v>46.4</v>
      </c>
      <c r="Q15" s="45">
        <v>46.4</v>
      </c>
      <c r="R15" s="45">
        <v>46.4</v>
      </c>
      <c r="S15" s="45">
        <v>46.4</v>
      </c>
      <c r="T15" s="45">
        <v>46.4</v>
      </c>
      <c r="U15" s="45">
        <v>46.4</v>
      </c>
      <c r="V15" s="45">
        <v>46.4</v>
      </c>
      <c r="W15" s="45">
        <v>46.4</v>
      </c>
      <c r="X15" s="45">
        <v>46.4</v>
      </c>
      <c r="Y15" s="45">
        <v>46.4</v>
      </c>
      <c r="Z15" s="45">
        <v>46.4</v>
      </c>
      <c r="AA15" s="45">
        <v>46.4</v>
      </c>
      <c r="AB15" s="45">
        <v>46.3</v>
      </c>
      <c r="AC15" s="45">
        <v>46.3</v>
      </c>
      <c r="AD15" s="45" t="s">
        <v>270</v>
      </c>
      <c r="AE15" s="45">
        <v>46.4</v>
      </c>
      <c r="AF15" s="45">
        <v>46.4</v>
      </c>
      <c r="AG15" s="49">
        <v>45</v>
      </c>
      <c r="AH15" s="47">
        <f t="shared" si="2"/>
        <v>46.4</v>
      </c>
      <c r="AI15" s="48">
        <f t="shared" si="3"/>
        <v>37.299999999999997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 t="s">
        <v>271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42</v>
      </c>
      <c r="C17" s="45">
        <v>42</v>
      </c>
      <c r="D17" s="45">
        <v>35</v>
      </c>
      <c r="E17" s="45">
        <v>35</v>
      </c>
      <c r="F17" s="45">
        <v>34</v>
      </c>
      <c r="G17" s="45">
        <v>34</v>
      </c>
      <c r="H17" s="45">
        <v>31</v>
      </c>
      <c r="I17" s="45">
        <v>31</v>
      </c>
      <c r="J17" s="45">
        <v>31</v>
      </c>
      <c r="K17" s="45">
        <v>36</v>
      </c>
      <c r="L17" s="45">
        <v>36</v>
      </c>
      <c r="M17" s="45">
        <v>36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29</v>
      </c>
      <c r="U17" s="45">
        <v>29</v>
      </c>
      <c r="V17" s="45">
        <v>29</v>
      </c>
      <c r="W17" s="45">
        <v>29</v>
      </c>
      <c r="X17" s="45">
        <v>29</v>
      </c>
      <c r="Y17" s="45">
        <v>41</v>
      </c>
      <c r="Z17" s="45">
        <v>41</v>
      </c>
      <c r="AA17" s="45">
        <v>41</v>
      </c>
      <c r="AB17" s="45">
        <v>42</v>
      </c>
      <c r="AC17" s="45">
        <v>35</v>
      </c>
      <c r="AD17" s="45"/>
      <c r="AE17" s="45">
        <v>42</v>
      </c>
      <c r="AF17" s="45">
        <v>36</v>
      </c>
      <c r="AG17" s="49">
        <v>42</v>
      </c>
      <c r="AH17" s="47">
        <f t="shared" si="2"/>
        <v>42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32</v>
      </c>
      <c r="C18" s="45">
        <v>32</v>
      </c>
      <c r="D18" s="45">
        <v>32</v>
      </c>
      <c r="E18" s="45">
        <v>32</v>
      </c>
      <c r="F18" s="45">
        <v>32</v>
      </c>
      <c r="G18" s="45">
        <v>32</v>
      </c>
      <c r="H18" s="45">
        <v>32</v>
      </c>
      <c r="I18" s="45">
        <v>32</v>
      </c>
      <c r="J18" s="45">
        <v>32</v>
      </c>
      <c r="K18" s="45">
        <v>32</v>
      </c>
      <c r="L18" s="45">
        <v>32</v>
      </c>
      <c r="M18" s="45">
        <v>32</v>
      </c>
      <c r="N18" s="45">
        <v>32</v>
      </c>
      <c r="O18" s="45">
        <v>32</v>
      </c>
      <c r="P18" s="45">
        <v>32</v>
      </c>
      <c r="Q18" s="45">
        <v>32</v>
      </c>
      <c r="R18" s="45">
        <v>32</v>
      </c>
      <c r="S18" s="45">
        <v>32</v>
      </c>
      <c r="T18" s="45">
        <v>32</v>
      </c>
      <c r="U18" s="45">
        <v>32</v>
      </c>
      <c r="V18" s="45">
        <v>32</v>
      </c>
      <c r="W18" s="45">
        <v>32</v>
      </c>
      <c r="X18" s="45">
        <v>32</v>
      </c>
      <c r="Y18" s="45">
        <v>32</v>
      </c>
      <c r="Z18" s="45">
        <v>32</v>
      </c>
      <c r="AA18" s="45">
        <v>32</v>
      </c>
      <c r="AB18" s="45">
        <v>32</v>
      </c>
      <c r="AC18" s="45">
        <v>32</v>
      </c>
      <c r="AD18" s="45"/>
      <c r="AE18" s="45">
        <v>38</v>
      </c>
      <c r="AF18" s="45">
        <v>38</v>
      </c>
      <c r="AG18" s="49">
        <v>38.46</v>
      </c>
      <c r="AH18" s="47">
        <f t="shared" si="2"/>
        <v>38</v>
      </c>
      <c r="AI18" s="48">
        <f t="shared" si="3"/>
        <v>32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20</v>
      </c>
      <c r="C19" s="45">
        <v>20</v>
      </c>
      <c r="D19" s="45">
        <v>20</v>
      </c>
      <c r="E19" s="45">
        <v>20</v>
      </c>
      <c r="F19" s="45">
        <v>20</v>
      </c>
      <c r="G19" s="45">
        <v>20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/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5.4</v>
      </c>
      <c r="C20" s="45">
        <v>5.4</v>
      </c>
      <c r="D20" s="45">
        <v>5.4</v>
      </c>
      <c r="E20" s="45">
        <v>5.4</v>
      </c>
      <c r="F20" s="45">
        <v>5.4</v>
      </c>
      <c r="G20" s="45">
        <v>5.4</v>
      </c>
      <c r="H20" s="45">
        <v>5.4</v>
      </c>
      <c r="I20" s="45">
        <v>5.4</v>
      </c>
      <c r="J20" s="45">
        <v>15</v>
      </c>
      <c r="K20" s="45">
        <v>24.4</v>
      </c>
      <c r="L20" s="45">
        <v>27.6</v>
      </c>
      <c r="M20" s="45">
        <v>27.6</v>
      </c>
      <c r="N20" s="45">
        <v>27.6</v>
      </c>
      <c r="O20" s="45">
        <v>10</v>
      </c>
      <c r="P20" s="45">
        <v>10</v>
      </c>
      <c r="Q20" s="45">
        <v>10</v>
      </c>
      <c r="R20" s="45">
        <v>15</v>
      </c>
      <c r="S20" s="45">
        <v>15</v>
      </c>
      <c r="T20" s="45">
        <v>30</v>
      </c>
      <c r="U20" s="45">
        <v>30</v>
      </c>
      <c r="V20" s="45">
        <v>30</v>
      </c>
      <c r="W20" s="45">
        <v>30</v>
      </c>
      <c r="X20" s="45">
        <v>30</v>
      </c>
      <c r="Y20" s="45">
        <v>30</v>
      </c>
      <c r="Z20" s="45">
        <v>30</v>
      </c>
      <c r="AA20" s="45">
        <v>25.3</v>
      </c>
      <c r="AB20" s="45">
        <v>25.3</v>
      </c>
      <c r="AC20" s="45">
        <v>25.3</v>
      </c>
      <c r="AD20" s="45" t="s">
        <v>282</v>
      </c>
      <c r="AE20" s="45">
        <v>30</v>
      </c>
      <c r="AF20" s="45">
        <v>15.6</v>
      </c>
      <c r="AG20" s="51">
        <v>30</v>
      </c>
      <c r="AH20" s="47">
        <f t="shared" si="2"/>
        <v>30</v>
      </c>
      <c r="AI20" s="48">
        <f t="shared" si="3"/>
        <v>5.4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33.1</v>
      </c>
      <c r="C21" s="45">
        <v>33.1</v>
      </c>
      <c r="D21" s="45">
        <v>33.1</v>
      </c>
      <c r="E21" s="45">
        <v>33.1</v>
      </c>
      <c r="F21" s="45">
        <v>33.1</v>
      </c>
      <c r="G21" s="45">
        <v>33.1</v>
      </c>
      <c r="H21" s="45">
        <v>33.1</v>
      </c>
      <c r="I21" s="45">
        <v>33.1</v>
      </c>
      <c r="J21" s="45">
        <v>33.1</v>
      </c>
      <c r="K21" s="45">
        <v>33.1</v>
      </c>
      <c r="L21" s="45">
        <v>33.1</v>
      </c>
      <c r="M21" s="45">
        <v>33.1</v>
      </c>
      <c r="N21" s="45">
        <v>33.1</v>
      </c>
      <c r="O21" s="45">
        <v>33.1</v>
      </c>
      <c r="P21" s="45">
        <v>33.1</v>
      </c>
      <c r="Q21" s="45">
        <v>33.1</v>
      </c>
      <c r="R21" s="45">
        <v>33.1</v>
      </c>
      <c r="S21" s="45">
        <v>33.1</v>
      </c>
      <c r="T21" s="45">
        <v>33.1</v>
      </c>
      <c r="U21" s="45">
        <v>33.1</v>
      </c>
      <c r="V21" s="45">
        <v>33.1</v>
      </c>
      <c r="W21" s="45">
        <v>33.1</v>
      </c>
      <c r="X21" s="45">
        <v>33.1</v>
      </c>
      <c r="Y21" s="45">
        <v>33.1</v>
      </c>
      <c r="Z21" s="45">
        <v>33.1</v>
      </c>
      <c r="AA21" s="45">
        <v>33.1</v>
      </c>
      <c r="AB21" s="45">
        <v>33.1</v>
      </c>
      <c r="AC21" s="45">
        <v>33.1</v>
      </c>
      <c r="AD21" s="45" t="s">
        <v>267</v>
      </c>
      <c r="AE21" s="45">
        <v>33.1</v>
      </c>
      <c r="AF21" s="45">
        <v>33.1</v>
      </c>
      <c r="AG21" s="49">
        <v>24.2</v>
      </c>
      <c r="AH21" s="47">
        <f t="shared" si="2"/>
        <v>33.1</v>
      </c>
      <c r="AI21" s="48">
        <f t="shared" si="3"/>
        <v>33.1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>
        <v>28</v>
      </c>
      <c r="D22" s="45">
        <v>28</v>
      </c>
      <c r="E22" s="45">
        <v>28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 t="s">
        <v>268</v>
      </c>
      <c r="AE22" s="45">
        <v>28</v>
      </c>
      <c r="AF22" s="45">
        <v>28</v>
      </c>
      <c r="AG22" s="49">
        <v>28</v>
      </c>
      <c r="AH22" s="47">
        <f t="shared" si="2"/>
        <v>28</v>
      </c>
      <c r="AI22" s="48">
        <f t="shared" si="3"/>
        <v>28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4.2</v>
      </c>
      <c r="C23" s="45">
        <v>4.2</v>
      </c>
      <c r="D23" s="45">
        <v>4.2</v>
      </c>
      <c r="E23" s="45">
        <v>4.2</v>
      </c>
      <c r="F23" s="45">
        <v>4.2</v>
      </c>
      <c r="G23" s="45">
        <v>4.2</v>
      </c>
      <c r="H23" s="45">
        <v>4.2</v>
      </c>
      <c r="I23" s="45">
        <v>4.2</v>
      </c>
      <c r="J23" s="45">
        <v>4.2</v>
      </c>
      <c r="K23" s="45">
        <v>21.2</v>
      </c>
      <c r="L23" s="45">
        <v>24.9</v>
      </c>
      <c r="M23" s="45">
        <v>24.9</v>
      </c>
      <c r="N23" s="45">
        <v>24.9</v>
      </c>
      <c r="O23" s="45">
        <v>10</v>
      </c>
      <c r="P23" s="45">
        <v>10</v>
      </c>
      <c r="Q23" s="45">
        <v>10</v>
      </c>
      <c r="R23" s="45">
        <v>10</v>
      </c>
      <c r="S23" s="45">
        <v>10</v>
      </c>
      <c r="T23" s="45">
        <v>27</v>
      </c>
      <c r="U23" s="45">
        <v>27</v>
      </c>
      <c r="V23" s="45">
        <v>27</v>
      </c>
      <c r="W23" s="45">
        <v>27</v>
      </c>
      <c r="X23" s="45">
        <v>27</v>
      </c>
      <c r="Y23" s="45">
        <v>27</v>
      </c>
      <c r="Z23" s="45">
        <v>27</v>
      </c>
      <c r="AA23" s="45">
        <v>24</v>
      </c>
      <c r="AB23" s="45">
        <v>27</v>
      </c>
      <c r="AC23" s="45">
        <v>27</v>
      </c>
      <c r="AD23" s="45" t="s">
        <v>266</v>
      </c>
      <c r="AE23" s="45">
        <v>27</v>
      </c>
      <c r="AF23" s="45">
        <v>13.5</v>
      </c>
      <c r="AG23" s="51">
        <v>30</v>
      </c>
      <c r="AH23" s="47">
        <f t="shared" si="2"/>
        <v>27</v>
      </c>
      <c r="AI23" s="48">
        <f t="shared" si="3"/>
        <v>4.2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26</v>
      </c>
      <c r="L24" s="45">
        <v>26</v>
      </c>
      <c r="M24" s="45">
        <v>26</v>
      </c>
      <c r="N24" s="45">
        <v>26</v>
      </c>
      <c r="O24" s="45">
        <v>26</v>
      </c>
      <c r="P24" s="45">
        <v>26</v>
      </c>
      <c r="Q24" s="45">
        <v>26</v>
      </c>
      <c r="R24" s="45">
        <v>26</v>
      </c>
      <c r="S24" s="45">
        <v>20</v>
      </c>
      <c r="T24" s="45">
        <v>24.6</v>
      </c>
      <c r="U24" s="45">
        <v>24.6</v>
      </c>
      <c r="V24" s="45">
        <v>24.6</v>
      </c>
      <c r="W24" s="45">
        <v>24.6</v>
      </c>
      <c r="X24" s="45">
        <v>24.6</v>
      </c>
      <c r="Y24" s="45">
        <v>26</v>
      </c>
      <c r="Z24" s="45">
        <v>26</v>
      </c>
      <c r="AA24" s="45">
        <v>26</v>
      </c>
      <c r="AB24" s="45">
        <v>26.2</v>
      </c>
      <c r="AC24" s="45">
        <v>26.2</v>
      </c>
      <c r="AD24" s="45" t="s">
        <v>281</v>
      </c>
      <c r="AE24" s="45">
        <v>26.2</v>
      </c>
      <c r="AF24" s="45">
        <v>24.6</v>
      </c>
      <c r="AG24" s="49">
        <v>25</v>
      </c>
      <c r="AH24" s="47">
        <f t="shared" si="2"/>
        <v>26.2</v>
      </c>
      <c r="AI24" s="48">
        <f t="shared" si="3"/>
        <v>20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 t="s">
        <v>265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20</v>
      </c>
      <c r="C26" s="45">
        <v>20</v>
      </c>
      <c r="D26" s="45">
        <v>20</v>
      </c>
      <c r="E26" s="45">
        <v>18</v>
      </c>
      <c r="F26" s="45">
        <v>18</v>
      </c>
      <c r="G26" s="45">
        <v>18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 t="s">
        <v>283</v>
      </c>
      <c r="AE26" s="45">
        <v>0</v>
      </c>
      <c r="AF26" s="45">
        <v>0</v>
      </c>
      <c r="AG26" s="49">
        <v>25</v>
      </c>
      <c r="AH26" s="47">
        <f t="shared" si="2"/>
        <v>25</v>
      </c>
      <c r="AI26" s="48">
        <f t="shared" si="3"/>
        <v>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4.5</v>
      </c>
      <c r="C27" s="45">
        <v>4.5</v>
      </c>
      <c r="D27" s="45">
        <v>4.5</v>
      </c>
      <c r="E27" s="45">
        <v>4.5</v>
      </c>
      <c r="F27" s="45">
        <v>4.5</v>
      </c>
      <c r="G27" s="45">
        <v>4.5</v>
      </c>
      <c r="H27" s="45">
        <v>4.5</v>
      </c>
      <c r="I27" s="45">
        <v>4.5</v>
      </c>
      <c r="J27" s="45">
        <v>4.5</v>
      </c>
      <c r="K27" s="45">
        <v>20</v>
      </c>
      <c r="L27" s="45">
        <f>0.9*25</f>
        <v>22.5</v>
      </c>
      <c r="M27" s="45">
        <f>0.9*25</f>
        <v>22.5</v>
      </c>
      <c r="N27" s="45">
        <f t="shared" ref="N27" si="4">0.9*25</f>
        <v>22.5</v>
      </c>
      <c r="O27" s="45">
        <v>9</v>
      </c>
      <c r="P27" s="45">
        <v>9</v>
      </c>
      <c r="Q27" s="45">
        <v>9</v>
      </c>
      <c r="R27" s="45">
        <v>9</v>
      </c>
      <c r="S27" s="45">
        <v>9</v>
      </c>
      <c r="T27" s="45">
        <v>25</v>
      </c>
      <c r="U27" s="45">
        <v>25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20</v>
      </c>
      <c r="AB27" s="45">
        <v>20</v>
      </c>
      <c r="AC27" s="45">
        <v>20</v>
      </c>
      <c r="AD27" s="45"/>
      <c r="AE27" s="45">
        <v>25</v>
      </c>
      <c r="AF27" s="45">
        <v>12.5</v>
      </c>
      <c r="AG27" s="49">
        <v>25</v>
      </c>
      <c r="AH27" s="47">
        <f t="shared" si="2"/>
        <v>25</v>
      </c>
      <c r="AI27" s="48">
        <f t="shared" si="3"/>
        <v>4.5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25.1</v>
      </c>
      <c r="C28" s="45">
        <v>25.1</v>
      </c>
      <c r="D28" s="45">
        <v>25.1</v>
      </c>
      <c r="E28" s="45">
        <v>25.1</v>
      </c>
      <c r="F28" s="45">
        <v>25.1</v>
      </c>
      <c r="G28" s="45">
        <v>25.1</v>
      </c>
      <c r="H28" s="45">
        <v>25.1</v>
      </c>
      <c r="I28" s="45">
        <v>25.1</v>
      </c>
      <c r="J28" s="45">
        <v>25.1</v>
      </c>
      <c r="K28" s="45">
        <v>25.1</v>
      </c>
      <c r="L28" s="45">
        <v>25.1</v>
      </c>
      <c r="M28" s="45">
        <v>25.1</v>
      </c>
      <c r="N28" s="45">
        <v>25.1</v>
      </c>
      <c r="O28" s="45">
        <v>25.1</v>
      </c>
      <c r="P28" s="45">
        <v>25.1</v>
      </c>
      <c r="Q28" s="45">
        <v>25.1</v>
      </c>
      <c r="R28" s="45">
        <v>25.1</v>
      </c>
      <c r="S28" s="45">
        <v>25.1</v>
      </c>
      <c r="T28" s="45">
        <v>25.1</v>
      </c>
      <c r="U28" s="45">
        <v>25.1</v>
      </c>
      <c r="V28" s="45">
        <v>25.1</v>
      </c>
      <c r="W28" s="45">
        <v>25.1</v>
      </c>
      <c r="X28" s="45">
        <v>25.1</v>
      </c>
      <c r="Y28" s="45">
        <v>25.1</v>
      </c>
      <c r="Z28" s="45">
        <v>25.1</v>
      </c>
      <c r="AA28" s="45">
        <v>25.1</v>
      </c>
      <c r="AB28" s="45">
        <v>25.1</v>
      </c>
      <c r="AC28" s="45">
        <v>25.1</v>
      </c>
      <c r="AD28" s="45"/>
      <c r="AE28" s="45">
        <v>25.1</v>
      </c>
      <c r="AF28" s="45">
        <v>25.3</v>
      </c>
      <c r="AG28" s="49">
        <v>23.5</v>
      </c>
      <c r="AH28" s="47">
        <f t="shared" si="2"/>
        <v>25.3</v>
      </c>
      <c r="AI28" s="48">
        <f t="shared" si="3"/>
        <v>25.1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/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/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/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/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20</v>
      </c>
      <c r="C33" s="45">
        <v>20</v>
      </c>
      <c r="D33" s="45">
        <v>15</v>
      </c>
      <c r="E33" s="45">
        <v>10</v>
      </c>
      <c r="F33" s="45">
        <v>8</v>
      </c>
      <c r="G33" s="45">
        <v>8</v>
      </c>
      <c r="H33" s="45">
        <v>8</v>
      </c>
      <c r="I33" s="45">
        <v>8</v>
      </c>
      <c r="J33" s="45">
        <v>12</v>
      </c>
      <c r="K33" s="45">
        <v>12</v>
      </c>
      <c r="L33" s="45">
        <v>15</v>
      </c>
      <c r="M33" s="45">
        <v>15</v>
      </c>
      <c r="N33" s="45">
        <v>15</v>
      </c>
      <c r="O33" s="45">
        <v>5</v>
      </c>
      <c r="P33" s="45">
        <v>5</v>
      </c>
      <c r="Q33" s="45">
        <v>5</v>
      </c>
      <c r="R33" s="45">
        <v>10</v>
      </c>
      <c r="S33" s="45">
        <v>0</v>
      </c>
      <c r="T33" s="45">
        <v>8</v>
      </c>
      <c r="U33" s="45">
        <v>8</v>
      </c>
      <c r="V33" s="45">
        <v>8</v>
      </c>
      <c r="W33" s="45">
        <v>8</v>
      </c>
      <c r="X33" s="45">
        <v>20</v>
      </c>
      <c r="Y33" s="45">
        <v>20</v>
      </c>
      <c r="Z33" s="45">
        <v>20</v>
      </c>
      <c r="AA33" s="45">
        <v>20</v>
      </c>
      <c r="AB33" s="45">
        <v>20</v>
      </c>
      <c r="AC33" s="45">
        <v>20</v>
      </c>
      <c r="AD33" s="45"/>
      <c r="AE33" s="45">
        <v>20</v>
      </c>
      <c r="AF33" s="45">
        <v>15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13</v>
      </c>
      <c r="C34" s="45">
        <v>13</v>
      </c>
      <c r="D34" s="45">
        <v>13</v>
      </c>
      <c r="E34" s="45">
        <v>10</v>
      </c>
      <c r="F34" s="45">
        <v>5</v>
      </c>
      <c r="G34" s="45">
        <v>5</v>
      </c>
      <c r="H34" s="45">
        <v>5</v>
      </c>
      <c r="I34" s="45">
        <v>5</v>
      </c>
      <c r="J34" s="45">
        <v>8</v>
      </c>
      <c r="K34" s="45">
        <v>10</v>
      </c>
      <c r="L34" s="45">
        <v>13</v>
      </c>
      <c r="M34" s="45">
        <v>13</v>
      </c>
      <c r="N34" s="45">
        <v>13</v>
      </c>
      <c r="O34" s="45">
        <v>5</v>
      </c>
      <c r="P34" s="45">
        <v>5</v>
      </c>
      <c r="Q34" s="45">
        <v>5</v>
      </c>
      <c r="R34" s="45">
        <v>10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15</v>
      </c>
      <c r="Y34" s="45">
        <v>15</v>
      </c>
      <c r="Z34" s="45">
        <v>15</v>
      </c>
      <c r="AA34" s="45">
        <v>15</v>
      </c>
      <c r="AB34" s="45">
        <v>15</v>
      </c>
      <c r="AC34" s="45">
        <v>15</v>
      </c>
      <c r="AD34" s="45"/>
      <c r="AE34" s="45">
        <v>9</v>
      </c>
      <c r="AF34" s="45">
        <v>9</v>
      </c>
      <c r="AG34" s="49">
        <v>18</v>
      </c>
      <c r="AH34" s="47">
        <f t="shared" si="2"/>
        <v>15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>
        <v>15</v>
      </c>
      <c r="AB35" s="45">
        <v>15</v>
      </c>
      <c r="AC35" s="45">
        <v>15</v>
      </c>
      <c r="AD35" s="45"/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15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/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/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/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6</v>
      </c>
      <c r="C39" s="45">
        <v>6</v>
      </c>
      <c r="D39" s="45">
        <v>6</v>
      </c>
      <c r="E39" s="45">
        <v>2</v>
      </c>
      <c r="F39" s="45">
        <v>2</v>
      </c>
      <c r="G39" s="45">
        <v>2</v>
      </c>
      <c r="H39" s="45">
        <v>2</v>
      </c>
      <c r="I39" s="45">
        <v>2</v>
      </c>
      <c r="J39" s="45">
        <v>2</v>
      </c>
      <c r="K39" s="45">
        <f>0.8*12</f>
        <v>9.6000000000000014</v>
      </c>
      <c r="L39" s="45">
        <v>10.8</v>
      </c>
      <c r="M39" s="45">
        <v>10.8</v>
      </c>
      <c r="N39" s="45">
        <v>10.8</v>
      </c>
      <c r="O39" s="45">
        <v>10.8</v>
      </c>
      <c r="P39" s="45">
        <v>10.8</v>
      </c>
      <c r="Q39" s="45">
        <v>10.8</v>
      </c>
      <c r="R39" s="45">
        <v>10.8</v>
      </c>
      <c r="S39" s="45">
        <v>4</v>
      </c>
      <c r="T39" s="45">
        <v>12</v>
      </c>
      <c r="U39" s="45">
        <v>12</v>
      </c>
      <c r="V39" s="45">
        <v>12</v>
      </c>
      <c r="W39" s="45">
        <v>12</v>
      </c>
      <c r="X39" s="45">
        <v>12</v>
      </c>
      <c r="Y39" s="45">
        <v>12</v>
      </c>
      <c r="Z39" s="45">
        <v>12</v>
      </c>
      <c r="AA39" s="45">
        <v>9</v>
      </c>
      <c r="AB39" s="45">
        <v>9</v>
      </c>
      <c r="AC39" s="45">
        <v>9</v>
      </c>
      <c r="AD39" s="45"/>
      <c r="AE39" s="45">
        <v>9</v>
      </c>
      <c r="AF39" s="45">
        <v>6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/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/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/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/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11</v>
      </c>
      <c r="C44" s="45">
        <v>11</v>
      </c>
      <c r="D44" s="45">
        <v>11</v>
      </c>
      <c r="E44" s="45">
        <v>11</v>
      </c>
      <c r="F44" s="45">
        <v>11</v>
      </c>
      <c r="G44" s="45">
        <v>11</v>
      </c>
      <c r="H44" s="45">
        <v>11</v>
      </c>
      <c r="I44" s="45">
        <v>11</v>
      </c>
      <c r="J44" s="45">
        <v>11</v>
      </c>
      <c r="K44" s="45">
        <v>11</v>
      </c>
      <c r="L44" s="45">
        <v>11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>
        <v>11</v>
      </c>
      <c r="AB44" s="45">
        <v>11</v>
      </c>
      <c r="AC44" s="45">
        <v>11</v>
      </c>
      <c r="AD44" s="45"/>
      <c r="AE44" s="45">
        <v>0</v>
      </c>
      <c r="AF44" s="45">
        <v>0</v>
      </c>
      <c r="AG44" s="54">
        <v>11</v>
      </c>
      <c r="AH44" s="47">
        <f t="shared" si="2"/>
        <v>11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>
        <v>10</v>
      </c>
      <c r="AB45" s="45">
        <v>10</v>
      </c>
      <c r="AC45" s="45">
        <v>10</v>
      </c>
      <c r="AD45" s="45"/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9</v>
      </c>
      <c r="C46" s="45">
        <v>9</v>
      </c>
      <c r="D46" s="45">
        <v>9</v>
      </c>
      <c r="E46" s="45">
        <v>9</v>
      </c>
      <c r="F46" s="45">
        <v>9</v>
      </c>
      <c r="G46" s="45">
        <v>9</v>
      </c>
      <c r="H46" s="45">
        <v>9</v>
      </c>
      <c r="I46" s="45">
        <v>9</v>
      </c>
      <c r="J46" s="45">
        <v>9</v>
      </c>
      <c r="K46" s="45">
        <v>9</v>
      </c>
      <c r="L46" s="45">
        <v>9</v>
      </c>
      <c r="M46" s="45">
        <v>9</v>
      </c>
      <c r="N46" s="45">
        <v>9</v>
      </c>
      <c r="O46" s="45">
        <v>9</v>
      </c>
      <c r="P46" s="45">
        <v>9</v>
      </c>
      <c r="Q46" s="45">
        <v>9</v>
      </c>
      <c r="R46" s="45">
        <v>9</v>
      </c>
      <c r="S46" s="45">
        <v>9</v>
      </c>
      <c r="T46" s="45">
        <v>9</v>
      </c>
      <c r="U46" s="45">
        <v>9</v>
      </c>
      <c r="V46" s="45">
        <v>9</v>
      </c>
      <c r="W46" s="45">
        <v>9</v>
      </c>
      <c r="X46" s="45">
        <v>9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/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9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/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/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f>37.2+93.9</f>
        <v>131.10000000000002</v>
      </c>
      <c r="C49" s="56">
        <f>37.2+93.8</f>
        <v>131</v>
      </c>
      <c r="D49" s="56">
        <f>37.3+93.9</f>
        <v>131.19999999999999</v>
      </c>
      <c r="E49" s="58">
        <f>93.1+36.7</f>
        <v>129.80000000000001</v>
      </c>
      <c r="F49" s="58">
        <f>93.5+37</f>
        <v>130.5</v>
      </c>
      <c r="G49" s="58">
        <f>92.9+36.4</f>
        <v>129.30000000000001</v>
      </c>
      <c r="H49" s="58">
        <f>92.4+36.2</f>
        <v>128.60000000000002</v>
      </c>
      <c r="I49" s="58">
        <f>92.6+36.1</f>
        <v>128.69999999999999</v>
      </c>
      <c r="J49" s="58">
        <f>91.7+35.9</f>
        <v>127.6</v>
      </c>
      <c r="K49" s="58">
        <f>91.8+35.8</f>
        <v>127.6</v>
      </c>
      <c r="L49" s="58">
        <f>87.1+34.2</f>
        <v>121.3</v>
      </c>
      <c r="M49" s="58">
        <f>87.1+34.2</f>
        <v>121.3</v>
      </c>
      <c r="N49" s="58">
        <f t="shared" ref="N49:R49" si="5">87.1+34.2</f>
        <v>121.3</v>
      </c>
      <c r="O49" s="58">
        <f t="shared" si="5"/>
        <v>121.3</v>
      </c>
      <c r="P49" s="58">
        <f t="shared" si="5"/>
        <v>121.3</v>
      </c>
      <c r="Q49" s="58">
        <f t="shared" si="5"/>
        <v>121.3</v>
      </c>
      <c r="R49" s="58">
        <f t="shared" si="5"/>
        <v>121.3</v>
      </c>
      <c r="S49" s="58">
        <f>35.2+92.1</f>
        <v>127.3</v>
      </c>
      <c r="T49" s="58">
        <f>35.2+92.1</f>
        <v>127.3</v>
      </c>
      <c r="U49" s="58">
        <f>35.2+92.1</f>
        <v>127.3</v>
      </c>
      <c r="V49" s="58">
        <f>35.3+91.9</f>
        <v>127.2</v>
      </c>
      <c r="W49" s="58">
        <f>34.7+90.3</f>
        <v>125</v>
      </c>
      <c r="X49" s="58">
        <f>33.5+88.5</f>
        <v>122</v>
      </c>
      <c r="Y49" s="56">
        <v>121</v>
      </c>
      <c r="Z49" s="56">
        <v>121</v>
      </c>
      <c r="AA49" s="56">
        <v>121</v>
      </c>
      <c r="AB49" s="56">
        <f>34.2+89.7</f>
        <v>123.9</v>
      </c>
      <c r="AC49" s="56">
        <f>34.4+90.1</f>
        <v>124.5</v>
      </c>
      <c r="AD49" s="56"/>
      <c r="AE49" s="56">
        <f>35.5+92</f>
        <v>127.5</v>
      </c>
      <c r="AF49" s="56">
        <f>37+93.2</f>
        <v>130.19999999999999</v>
      </c>
      <c r="AG49" s="54">
        <v>240</v>
      </c>
      <c r="AH49" s="47">
        <f t="shared" si="2"/>
        <v>131.19999999999999</v>
      </c>
      <c r="AI49" s="48">
        <f t="shared" si="3"/>
        <v>121</v>
      </c>
      <c r="AK49" s="50"/>
    </row>
    <row r="50" spans="1:41" ht="15.75" thickBot="1" x14ac:dyDescent="0.3">
      <c r="A50" s="59" t="s">
        <v>58</v>
      </c>
      <c r="B50" s="60">
        <f t="shared" ref="B50:C50" si="6">SUM(B11:B48)</f>
        <v>1136.7</v>
      </c>
      <c r="C50" s="60">
        <f t="shared" si="6"/>
        <v>1137.0999999999999</v>
      </c>
      <c r="D50" s="60">
        <f t="shared" ref="D50" si="7">SUM(D11:D48)</f>
        <v>1124.5999999999999</v>
      </c>
      <c r="E50" s="60">
        <f t="shared" ref="E50:AD50" si="8">SUM(E11:E48)</f>
        <v>1110.5999999999999</v>
      </c>
      <c r="F50" s="60">
        <f t="shared" si="8"/>
        <v>1102.5999999999999</v>
      </c>
      <c r="G50" s="60">
        <f t="shared" si="8"/>
        <v>1102.5999999999999</v>
      </c>
      <c r="H50" s="60">
        <f t="shared" si="8"/>
        <v>1110.5999999999999</v>
      </c>
      <c r="I50" s="60">
        <f t="shared" si="8"/>
        <v>1119.7</v>
      </c>
      <c r="J50" s="60">
        <f t="shared" si="8"/>
        <v>1136.3000000000002</v>
      </c>
      <c r="K50" s="60">
        <f t="shared" si="8"/>
        <v>1199.3000000000002</v>
      </c>
      <c r="L50" s="60">
        <f t="shared" si="8"/>
        <v>1215.9000000000001</v>
      </c>
      <c r="M50" s="60">
        <f t="shared" si="8"/>
        <v>1215.9000000000001</v>
      </c>
      <c r="N50" s="60">
        <f t="shared" si="8"/>
        <v>1207.9000000000001</v>
      </c>
      <c r="O50" s="60">
        <f t="shared" si="8"/>
        <v>1143.9000000000001</v>
      </c>
      <c r="P50" s="60">
        <f t="shared" si="8"/>
        <v>1143.9000000000001</v>
      </c>
      <c r="Q50" s="60">
        <f t="shared" si="8"/>
        <v>1143.9000000000001</v>
      </c>
      <c r="R50" s="60">
        <f t="shared" si="8"/>
        <v>1158.9000000000001</v>
      </c>
      <c r="S50" s="60">
        <f t="shared" si="8"/>
        <v>1126.0999999999999</v>
      </c>
      <c r="T50" s="60">
        <f t="shared" si="8"/>
        <v>1195.7</v>
      </c>
      <c r="U50" s="60">
        <f t="shared" si="8"/>
        <v>1195.7</v>
      </c>
      <c r="V50" s="60">
        <f t="shared" si="8"/>
        <v>1195.7</v>
      </c>
      <c r="W50" s="60">
        <f t="shared" si="8"/>
        <v>1195.7</v>
      </c>
      <c r="X50" s="60">
        <f t="shared" si="8"/>
        <v>1222.7</v>
      </c>
      <c r="Y50" s="60">
        <f t="shared" si="8"/>
        <v>1237.0999999999999</v>
      </c>
      <c r="Z50" s="60">
        <f t="shared" si="8"/>
        <v>1237.0999999999999</v>
      </c>
      <c r="AA50" s="60">
        <f t="shared" si="8"/>
        <v>1221.4000000000001</v>
      </c>
      <c r="AB50" s="60">
        <f t="shared" ref="AB50" si="9">SUM(AB11:AB48)</f>
        <v>1225.8000000000002</v>
      </c>
      <c r="AC50" s="60">
        <f t="shared" si="8"/>
        <v>1218.7</v>
      </c>
      <c r="AD50" s="60">
        <f t="shared" si="8"/>
        <v>0</v>
      </c>
      <c r="AE50" s="60">
        <f t="shared" ref="AE50:AF50" si="10">SUM(AE11:AE48)</f>
        <v>1199.6100000000001</v>
      </c>
      <c r="AF50" s="60">
        <f t="shared" si="10"/>
        <v>1141.5999999999999</v>
      </c>
      <c r="AG50" s="61">
        <f>SUM(AG13:AG48)</f>
        <v>922.14</v>
      </c>
      <c r="AH50" s="47">
        <f t="shared" si="2"/>
        <v>1237.0999999999999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456</v>
      </c>
      <c r="D51" s="45">
        <v>456</v>
      </c>
      <c r="E51" s="45">
        <v>456</v>
      </c>
      <c r="F51" s="45">
        <v>456</v>
      </c>
      <c r="G51" s="45">
        <v>456</v>
      </c>
      <c r="H51" s="45">
        <v>456</v>
      </c>
      <c r="I51" s="45">
        <v>456</v>
      </c>
      <c r="J51" s="45">
        <v>456</v>
      </c>
      <c r="K51" s="45">
        <v>456</v>
      </c>
      <c r="L51" s="45">
        <v>436</v>
      </c>
      <c r="M51" s="45">
        <v>436</v>
      </c>
      <c r="N51" s="45">
        <v>380</v>
      </c>
      <c r="O51" s="45">
        <v>456</v>
      </c>
      <c r="P51" s="45">
        <v>456</v>
      </c>
      <c r="Q51" s="45">
        <v>456</v>
      </c>
      <c r="R51" s="45">
        <v>456</v>
      </c>
      <c r="S51" s="45">
        <v>410</v>
      </c>
      <c r="T51" s="45">
        <v>300</v>
      </c>
      <c r="U51" s="45">
        <v>300</v>
      </c>
      <c r="V51" s="45">
        <v>300</v>
      </c>
      <c r="W51" s="45">
        <v>400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/>
      <c r="AE51" s="45">
        <v>456</v>
      </c>
      <c r="AF51" s="45">
        <v>456</v>
      </c>
      <c r="AG51" s="51">
        <v>456</v>
      </c>
      <c r="AH51" s="47">
        <f t="shared" si="2"/>
        <v>456</v>
      </c>
      <c r="AI51" s="48">
        <f t="shared" si="3"/>
        <v>300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/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</v>
      </c>
      <c r="C53" s="66">
        <v>22</v>
      </c>
      <c r="D53" s="66">
        <v>22</v>
      </c>
      <c r="E53" s="66">
        <v>18</v>
      </c>
      <c r="F53" s="66">
        <v>18</v>
      </c>
      <c r="G53" s="66">
        <v>18</v>
      </c>
      <c r="H53" s="66">
        <v>18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/>
      <c r="AE53" s="66">
        <v>22.4</v>
      </c>
      <c r="AF53" s="66">
        <v>22.4</v>
      </c>
      <c r="AG53" s="67">
        <v>22.1</v>
      </c>
      <c r="AH53" s="47">
        <f t="shared" si="2"/>
        <v>22.4</v>
      </c>
      <c r="AI53" s="48">
        <f t="shared" si="3"/>
        <v>18</v>
      </c>
      <c r="AK53" s="50"/>
    </row>
    <row r="54" spans="1:41" ht="15.75" thickBot="1" x14ac:dyDescent="0.3">
      <c r="A54" s="68" t="s">
        <v>62</v>
      </c>
      <c r="B54" s="60">
        <f t="shared" ref="B54:C54" si="11">SUM(B51:B53)</f>
        <v>538</v>
      </c>
      <c r="C54" s="60">
        <f t="shared" si="11"/>
        <v>538</v>
      </c>
      <c r="D54" s="60">
        <f t="shared" ref="D54" si="12">SUM(D51:D53)</f>
        <v>538</v>
      </c>
      <c r="E54" s="60">
        <f t="shared" ref="E54:AG54" si="13">SUM(E51:E53)</f>
        <v>534</v>
      </c>
      <c r="F54" s="60">
        <f t="shared" si="13"/>
        <v>534</v>
      </c>
      <c r="G54" s="60">
        <f t="shared" si="13"/>
        <v>534</v>
      </c>
      <c r="H54" s="60">
        <f t="shared" si="13"/>
        <v>534</v>
      </c>
      <c r="I54" s="60">
        <f t="shared" si="13"/>
        <v>538</v>
      </c>
      <c r="J54" s="60">
        <f t="shared" si="13"/>
        <v>538</v>
      </c>
      <c r="K54" s="60">
        <f t="shared" si="13"/>
        <v>538</v>
      </c>
      <c r="L54" s="60">
        <f t="shared" si="13"/>
        <v>518</v>
      </c>
      <c r="M54" s="60">
        <f t="shared" si="13"/>
        <v>518</v>
      </c>
      <c r="N54" s="60">
        <f t="shared" si="13"/>
        <v>462</v>
      </c>
      <c r="O54" s="60">
        <f t="shared" si="13"/>
        <v>538</v>
      </c>
      <c r="P54" s="60">
        <f t="shared" si="13"/>
        <v>538</v>
      </c>
      <c r="Q54" s="60">
        <f t="shared" si="13"/>
        <v>538</v>
      </c>
      <c r="R54" s="60">
        <f t="shared" si="13"/>
        <v>538</v>
      </c>
      <c r="S54" s="60">
        <f t="shared" si="13"/>
        <v>492</v>
      </c>
      <c r="T54" s="60">
        <f t="shared" si="13"/>
        <v>382</v>
      </c>
      <c r="U54" s="60">
        <f t="shared" si="13"/>
        <v>382</v>
      </c>
      <c r="V54" s="60">
        <f t="shared" si="13"/>
        <v>382</v>
      </c>
      <c r="W54" s="60">
        <f t="shared" si="13"/>
        <v>482.4</v>
      </c>
      <c r="X54" s="60">
        <f t="shared" si="13"/>
        <v>538.4</v>
      </c>
      <c r="Y54" s="60">
        <f t="shared" si="13"/>
        <v>538.4</v>
      </c>
      <c r="Z54" s="60">
        <f t="shared" si="13"/>
        <v>538.4</v>
      </c>
      <c r="AA54" s="60">
        <f t="shared" si="13"/>
        <v>538.4</v>
      </c>
      <c r="AB54" s="60">
        <f t="shared" ref="AB54" si="14">SUM(AB51:AB53)</f>
        <v>538.4</v>
      </c>
      <c r="AC54" s="60">
        <f t="shared" si="13"/>
        <v>538.4</v>
      </c>
      <c r="AD54" s="60">
        <f t="shared" si="13"/>
        <v>0</v>
      </c>
      <c r="AE54" s="60">
        <f t="shared" ref="AE54:AF54" si="15">SUM(AE51:AE53)</f>
        <v>538.4</v>
      </c>
      <c r="AF54" s="60">
        <f t="shared" si="15"/>
        <v>538.4</v>
      </c>
      <c r="AG54" s="61">
        <f t="shared" si="13"/>
        <v>538.1</v>
      </c>
      <c r="AH54" s="47">
        <f t="shared" si="2"/>
        <v>538.4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146.19999999999999</v>
      </c>
      <c r="C55" s="45">
        <v>146</v>
      </c>
      <c r="D55" s="45">
        <v>141.69999999999999</v>
      </c>
      <c r="E55" s="45">
        <v>145.69999999999999</v>
      </c>
      <c r="F55" s="45">
        <v>145.69999999999999</v>
      </c>
      <c r="G55" s="45">
        <v>141.6</v>
      </c>
      <c r="H55" s="45">
        <v>147</v>
      </c>
      <c r="I55" s="45">
        <v>146.4</v>
      </c>
      <c r="J55" s="45">
        <v>146.4</v>
      </c>
      <c r="K55" s="45">
        <v>146.5</v>
      </c>
      <c r="L55" s="45">
        <v>146.5</v>
      </c>
      <c r="M55" s="45">
        <v>146.5</v>
      </c>
      <c r="N55" s="45">
        <v>146.5</v>
      </c>
      <c r="O55" s="45">
        <v>146.5</v>
      </c>
      <c r="P55" s="45">
        <v>146.5</v>
      </c>
      <c r="Q55" s="45">
        <v>146.5</v>
      </c>
      <c r="R55" s="45">
        <v>146.5</v>
      </c>
      <c r="S55" s="45">
        <v>146.5</v>
      </c>
      <c r="T55" s="45">
        <v>146.5</v>
      </c>
      <c r="U55" s="45">
        <v>146.5</v>
      </c>
      <c r="V55" s="45">
        <v>146.1</v>
      </c>
      <c r="W55" s="45">
        <v>145.9</v>
      </c>
      <c r="X55" s="45">
        <v>145.9</v>
      </c>
      <c r="Y55" s="45">
        <v>146.19999999999999</v>
      </c>
      <c r="Z55" s="45">
        <v>146.19999999999999</v>
      </c>
      <c r="AA55" s="45">
        <v>146.19999999999999</v>
      </c>
      <c r="AB55" s="45">
        <v>146.19999999999999</v>
      </c>
      <c r="AC55" s="45">
        <v>146.4</v>
      </c>
      <c r="AD55" s="45"/>
      <c r="AE55" s="45">
        <v>145.6</v>
      </c>
      <c r="AF55" s="45">
        <v>145.6</v>
      </c>
      <c r="AG55" s="51">
        <v>144</v>
      </c>
      <c r="AH55" s="47">
        <f t="shared" si="2"/>
        <v>147</v>
      </c>
      <c r="AI55" s="48">
        <f t="shared" si="3"/>
        <v>141.6</v>
      </c>
      <c r="AK55" s="50"/>
    </row>
    <row r="56" spans="1:41" x14ac:dyDescent="0.25">
      <c r="A56" s="53" t="s">
        <v>64</v>
      </c>
      <c r="B56" s="64">
        <v>68.3</v>
      </c>
      <c r="C56" s="64">
        <v>68.5</v>
      </c>
      <c r="D56" s="64">
        <v>65.2</v>
      </c>
      <c r="E56" s="64">
        <v>64.099999999999994</v>
      </c>
      <c r="F56" s="64">
        <v>64.099999999999994</v>
      </c>
      <c r="G56" s="64">
        <v>70.2</v>
      </c>
      <c r="H56" s="64">
        <v>70.2</v>
      </c>
      <c r="I56" s="64">
        <v>69.8</v>
      </c>
      <c r="J56" s="64">
        <v>71.099999999999994</v>
      </c>
      <c r="K56" s="64">
        <v>71.599999999999994</v>
      </c>
      <c r="L56" s="64">
        <v>71.599999999999994</v>
      </c>
      <c r="M56" s="64">
        <v>71.599999999999994</v>
      </c>
      <c r="N56" s="64">
        <v>71.599999999999994</v>
      </c>
      <c r="O56" s="64">
        <v>71.599999999999994</v>
      </c>
      <c r="P56" s="64">
        <v>71.599999999999994</v>
      </c>
      <c r="Q56" s="64">
        <v>71.599999999999994</v>
      </c>
      <c r="R56" s="64">
        <v>71.599999999999994</v>
      </c>
      <c r="S56" s="64">
        <v>71.599999999999994</v>
      </c>
      <c r="T56" s="64">
        <v>71.599999999999994</v>
      </c>
      <c r="U56" s="64">
        <v>71.599999999999994</v>
      </c>
      <c r="V56" s="64">
        <v>70</v>
      </c>
      <c r="W56" s="64">
        <v>70.099999999999994</v>
      </c>
      <c r="X56" s="64">
        <v>70.099999999999994</v>
      </c>
      <c r="Y56" s="45">
        <v>69.5</v>
      </c>
      <c r="Z56" s="45">
        <v>69.5</v>
      </c>
      <c r="AA56" s="45">
        <v>69.5</v>
      </c>
      <c r="AB56" s="45">
        <v>69</v>
      </c>
      <c r="AC56" s="45">
        <v>69.5</v>
      </c>
      <c r="AD56" s="64"/>
      <c r="AE56" s="45">
        <v>69</v>
      </c>
      <c r="AF56" s="45">
        <v>70</v>
      </c>
      <c r="AG56" s="54">
        <v>70</v>
      </c>
      <c r="AH56" s="47">
        <f t="shared" si="2"/>
        <v>71.599999999999994</v>
      </c>
      <c r="AI56" s="48">
        <f t="shared" si="3"/>
        <v>64.099999999999994</v>
      </c>
      <c r="AK56" s="50"/>
    </row>
    <row r="57" spans="1:41" x14ac:dyDescent="0.25">
      <c r="A57" s="53" t="s">
        <v>65</v>
      </c>
      <c r="B57" s="64">
        <v>70.099999999999994</v>
      </c>
      <c r="C57" s="64">
        <v>68.900000000000006</v>
      </c>
      <c r="D57" s="64">
        <v>66.5</v>
      </c>
      <c r="E57" s="64">
        <v>68</v>
      </c>
      <c r="F57" s="64">
        <v>68</v>
      </c>
      <c r="G57" s="64">
        <v>68.599999999999994</v>
      </c>
      <c r="H57" s="64">
        <v>68.599999999999994</v>
      </c>
      <c r="I57" s="64">
        <v>68.5</v>
      </c>
      <c r="J57" s="64">
        <v>68.5</v>
      </c>
      <c r="K57" s="64">
        <v>68.8</v>
      </c>
      <c r="L57" s="64">
        <v>68.8</v>
      </c>
      <c r="M57" s="64">
        <v>68.8</v>
      </c>
      <c r="N57" s="64">
        <v>68.8</v>
      </c>
      <c r="O57" s="64">
        <v>68.8</v>
      </c>
      <c r="P57" s="64">
        <v>68.8</v>
      </c>
      <c r="Q57" s="64">
        <v>68.8</v>
      </c>
      <c r="R57" s="64">
        <v>68.8</v>
      </c>
      <c r="S57" s="64">
        <v>68.8</v>
      </c>
      <c r="T57" s="64">
        <v>68.8</v>
      </c>
      <c r="U57" s="64">
        <v>68.8</v>
      </c>
      <c r="V57" s="64">
        <v>69.599999999999994</v>
      </c>
      <c r="W57" s="64">
        <v>69.900000000000006</v>
      </c>
      <c r="X57" s="64">
        <v>69.900000000000006</v>
      </c>
      <c r="Y57" s="45">
        <v>70</v>
      </c>
      <c r="Z57" s="45">
        <v>70</v>
      </c>
      <c r="AA57" s="45">
        <v>70</v>
      </c>
      <c r="AB57" s="45">
        <v>68</v>
      </c>
      <c r="AC57" s="45">
        <v>69.5</v>
      </c>
      <c r="AD57" s="64"/>
      <c r="AE57" s="45">
        <v>70</v>
      </c>
      <c r="AF57" s="45">
        <v>63.5</v>
      </c>
      <c r="AG57" s="54">
        <v>69</v>
      </c>
      <c r="AH57" s="47">
        <f t="shared" si="2"/>
        <v>70.099999999999994</v>
      </c>
      <c r="AI57" s="48">
        <f t="shared" si="3"/>
        <v>63.5</v>
      </c>
      <c r="AK57" s="50"/>
    </row>
    <row r="58" spans="1:41" x14ac:dyDescent="0.25">
      <c r="A58" s="53" t="s">
        <v>66</v>
      </c>
      <c r="B58" s="64">
        <v>61.2</v>
      </c>
      <c r="C58" s="64">
        <v>60.1</v>
      </c>
      <c r="D58" s="64">
        <v>51.1</v>
      </c>
      <c r="E58" s="56">
        <v>50.2</v>
      </c>
      <c r="F58" s="56">
        <v>50.2</v>
      </c>
      <c r="G58" s="56">
        <v>50.2</v>
      </c>
      <c r="H58" s="56">
        <v>60.9</v>
      </c>
      <c r="I58" s="56">
        <v>60.9</v>
      </c>
      <c r="J58" s="56">
        <v>61.2</v>
      </c>
      <c r="K58" s="56">
        <v>60.2</v>
      </c>
      <c r="L58" s="56">
        <v>60.2</v>
      </c>
      <c r="M58" s="56">
        <v>60.2</v>
      </c>
      <c r="N58" s="56">
        <v>60.2</v>
      </c>
      <c r="O58" s="56">
        <v>60.2</v>
      </c>
      <c r="P58" s="56">
        <v>60.2</v>
      </c>
      <c r="Q58" s="56">
        <v>60.2</v>
      </c>
      <c r="R58" s="56">
        <v>60.2</v>
      </c>
      <c r="S58" s="56">
        <v>60.2</v>
      </c>
      <c r="T58" s="56">
        <v>60.2</v>
      </c>
      <c r="U58" s="56">
        <v>60.2</v>
      </c>
      <c r="V58" s="56">
        <v>60.9</v>
      </c>
      <c r="W58" s="56">
        <v>60.9</v>
      </c>
      <c r="X58" s="56">
        <v>60.9</v>
      </c>
      <c r="Y58" s="45">
        <v>60.7</v>
      </c>
      <c r="Z58" s="45">
        <v>60.7</v>
      </c>
      <c r="AA58" s="45">
        <v>60.7</v>
      </c>
      <c r="AB58" s="45">
        <v>60.9</v>
      </c>
      <c r="AC58" s="45">
        <v>60.9</v>
      </c>
      <c r="AD58" s="64"/>
      <c r="AE58" s="45">
        <v>60.9</v>
      </c>
      <c r="AF58" s="45">
        <v>60</v>
      </c>
      <c r="AG58" s="54">
        <v>60</v>
      </c>
      <c r="AH58" s="47">
        <f t="shared" si="2"/>
        <v>61.2</v>
      </c>
      <c r="AI58" s="48">
        <f t="shared" si="3"/>
        <v>50.2</v>
      </c>
      <c r="AK58" s="50"/>
    </row>
    <row r="59" spans="1:41" x14ac:dyDescent="0.25">
      <c r="A59" s="53" t="s">
        <v>67</v>
      </c>
      <c r="B59" s="64">
        <v>15</v>
      </c>
      <c r="C59" s="64">
        <v>15</v>
      </c>
      <c r="D59" s="64">
        <v>15</v>
      </c>
      <c r="E59" s="56">
        <v>15</v>
      </c>
      <c r="F59" s="56">
        <v>13</v>
      </c>
      <c r="G59" s="56">
        <v>13</v>
      </c>
      <c r="H59" s="56">
        <v>13</v>
      </c>
      <c r="I59" s="56">
        <v>15</v>
      </c>
      <c r="J59" s="56">
        <v>15</v>
      </c>
      <c r="K59" s="56">
        <v>26</v>
      </c>
      <c r="L59" s="56">
        <v>29</v>
      </c>
      <c r="M59" s="56">
        <v>29</v>
      </c>
      <c r="N59" s="56">
        <v>29</v>
      </c>
      <c r="O59" s="56">
        <v>29</v>
      </c>
      <c r="P59" s="56">
        <v>29</v>
      </c>
      <c r="Q59" s="56">
        <v>29</v>
      </c>
      <c r="R59" s="56">
        <v>29</v>
      </c>
      <c r="S59" s="56">
        <v>15</v>
      </c>
      <c r="T59" s="56">
        <v>15</v>
      </c>
      <c r="U59" s="56">
        <v>15</v>
      </c>
      <c r="V59" s="56">
        <v>15</v>
      </c>
      <c r="W59" s="56">
        <v>15</v>
      </c>
      <c r="X59" s="56">
        <v>15</v>
      </c>
      <c r="Y59" s="45">
        <v>30</v>
      </c>
      <c r="Z59" s="45">
        <v>30</v>
      </c>
      <c r="AA59" s="45">
        <v>30</v>
      </c>
      <c r="AB59" s="45">
        <v>15</v>
      </c>
      <c r="AC59" s="45">
        <v>15</v>
      </c>
      <c r="AD59" s="64"/>
      <c r="AE59" s="45">
        <v>15</v>
      </c>
      <c r="AF59" s="45">
        <v>15</v>
      </c>
      <c r="AG59" s="54">
        <v>30</v>
      </c>
      <c r="AH59" s="47">
        <f t="shared" si="2"/>
        <v>30</v>
      </c>
      <c r="AI59" s="48">
        <f t="shared" si="3"/>
        <v>13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0.7</v>
      </c>
      <c r="K60" s="64">
        <v>1.1000000000000001</v>
      </c>
      <c r="L60" s="64">
        <v>2.9</v>
      </c>
      <c r="M60" s="64">
        <v>2.9</v>
      </c>
      <c r="N60" s="64">
        <v>2.9</v>
      </c>
      <c r="O60" s="64">
        <v>2.9</v>
      </c>
      <c r="P60" s="64">
        <v>2.9</v>
      </c>
      <c r="Q60" s="64">
        <v>2.9</v>
      </c>
      <c r="R60" s="64">
        <v>2.9</v>
      </c>
      <c r="S60" s="64">
        <v>12</v>
      </c>
      <c r="T60" s="64">
        <v>8.6999999999999993</v>
      </c>
      <c r="U60" s="64">
        <v>5</v>
      </c>
      <c r="V60" s="64">
        <v>0.5</v>
      </c>
      <c r="W60" s="64">
        <v>0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64"/>
      <c r="AE60" s="45">
        <v>0</v>
      </c>
      <c r="AF60" s="45">
        <v>0</v>
      </c>
      <c r="AG60" s="54">
        <v>25</v>
      </c>
      <c r="AH60" s="47">
        <f t="shared" si="2"/>
        <v>12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10</v>
      </c>
      <c r="C61" s="64">
        <v>10</v>
      </c>
      <c r="D61" s="64">
        <v>10</v>
      </c>
      <c r="E61" s="64">
        <v>10</v>
      </c>
      <c r="F61" s="64">
        <v>10</v>
      </c>
      <c r="G61" s="64">
        <v>10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/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10</v>
      </c>
      <c r="AK61" s="50"/>
    </row>
    <row r="62" spans="1:41" x14ac:dyDescent="0.25">
      <c r="A62" s="53" t="s">
        <v>70</v>
      </c>
      <c r="B62" s="64">
        <v>2.7</v>
      </c>
      <c r="C62" s="64">
        <v>2.7</v>
      </c>
      <c r="D62" s="64">
        <v>2.7</v>
      </c>
      <c r="E62" s="64">
        <v>2.7</v>
      </c>
      <c r="F62" s="64">
        <v>2.7</v>
      </c>
      <c r="G62" s="64">
        <v>2.7</v>
      </c>
      <c r="H62" s="64">
        <v>2.7</v>
      </c>
      <c r="I62" s="64">
        <v>2.7</v>
      </c>
      <c r="J62" s="64">
        <v>2.7</v>
      </c>
      <c r="K62" s="64">
        <v>2.7</v>
      </c>
      <c r="L62" s="64">
        <v>2.7</v>
      </c>
      <c r="M62" s="64">
        <v>2.7</v>
      </c>
      <c r="N62" s="64">
        <v>2.7</v>
      </c>
      <c r="O62" s="64">
        <v>2.7</v>
      </c>
      <c r="P62" s="64">
        <v>2.7</v>
      </c>
      <c r="Q62" s="64">
        <v>2.7</v>
      </c>
      <c r="R62" s="64">
        <v>2.7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/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2.7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9.6</v>
      </c>
      <c r="C63" s="64">
        <v>9.6</v>
      </c>
      <c r="D63" s="64">
        <v>9.6</v>
      </c>
      <c r="E63" s="64">
        <v>9.6</v>
      </c>
      <c r="F63" s="64">
        <v>9.6</v>
      </c>
      <c r="G63" s="64">
        <v>9.6</v>
      </c>
      <c r="H63" s="64">
        <v>9.6</v>
      </c>
      <c r="I63" s="64">
        <v>9.6</v>
      </c>
      <c r="J63" s="64">
        <v>9.6</v>
      </c>
      <c r="K63" s="64">
        <v>9.6</v>
      </c>
      <c r="L63" s="64">
        <v>9.6</v>
      </c>
      <c r="M63" s="64">
        <v>9.6</v>
      </c>
      <c r="N63" s="64">
        <v>9.6</v>
      </c>
      <c r="O63" s="64">
        <v>9.6</v>
      </c>
      <c r="P63" s="64">
        <v>9.6</v>
      </c>
      <c r="Q63" s="64">
        <v>9.6</v>
      </c>
      <c r="R63" s="64">
        <v>9.6</v>
      </c>
      <c r="S63" s="64">
        <v>9.6</v>
      </c>
      <c r="T63" s="64">
        <v>9.6</v>
      </c>
      <c r="U63" s="64">
        <v>9.6</v>
      </c>
      <c r="V63" s="64">
        <v>9.6</v>
      </c>
      <c r="W63" s="64">
        <v>9.6</v>
      </c>
      <c r="X63" s="64">
        <v>9.6</v>
      </c>
      <c r="Y63" s="64">
        <v>9.6999999999999993</v>
      </c>
      <c r="Z63" s="64">
        <v>9.6999999999999993</v>
      </c>
      <c r="AA63" s="64">
        <v>9.6999999999999993</v>
      </c>
      <c r="AB63" s="64">
        <v>9.6</v>
      </c>
      <c r="AC63" s="64">
        <v>9.6999999999999993</v>
      </c>
      <c r="AD63" s="64"/>
      <c r="AE63" s="64">
        <v>9.6999999999999993</v>
      </c>
      <c r="AF63" s="64">
        <v>9.6</v>
      </c>
      <c r="AG63" s="54">
        <v>14.1</v>
      </c>
      <c r="AH63" s="47">
        <f t="shared" si="2"/>
        <v>9.6999999999999993</v>
      </c>
      <c r="AI63" s="48">
        <f t="shared" si="3"/>
        <v>9.6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14.3</v>
      </c>
      <c r="C64" s="64">
        <v>14.3</v>
      </c>
      <c r="D64" s="64">
        <v>14.3</v>
      </c>
      <c r="E64" s="64">
        <v>14.3</v>
      </c>
      <c r="F64" s="64">
        <v>14.3</v>
      </c>
      <c r="G64" s="64">
        <v>14.3</v>
      </c>
      <c r="H64" s="64">
        <v>14.3</v>
      </c>
      <c r="I64" s="64">
        <v>14.3</v>
      </c>
      <c r="J64" s="64">
        <v>14.3</v>
      </c>
      <c r="K64" s="64">
        <v>14.3</v>
      </c>
      <c r="L64" s="64">
        <v>14.3</v>
      </c>
      <c r="M64" s="64">
        <v>14.3</v>
      </c>
      <c r="N64" s="64">
        <v>14.3</v>
      </c>
      <c r="O64" s="64">
        <v>14.3</v>
      </c>
      <c r="P64" s="64">
        <v>14.3</v>
      </c>
      <c r="Q64" s="64">
        <v>14.3</v>
      </c>
      <c r="R64" s="64">
        <v>14.3</v>
      </c>
      <c r="S64" s="64">
        <v>14.3</v>
      </c>
      <c r="T64" s="64">
        <v>14.3</v>
      </c>
      <c r="U64" s="64">
        <v>14.3</v>
      </c>
      <c r="V64" s="64">
        <v>14.3</v>
      </c>
      <c r="W64" s="64">
        <v>14.3</v>
      </c>
      <c r="X64" s="64">
        <v>14.3</v>
      </c>
      <c r="Y64" s="64">
        <v>14.3</v>
      </c>
      <c r="Z64" s="64">
        <v>14.3</v>
      </c>
      <c r="AA64" s="64">
        <v>14.3</v>
      </c>
      <c r="AB64" s="64">
        <v>14.3</v>
      </c>
      <c r="AC64" s="64">
        <v>14.3</v>
      </c>
      <c r="AD64" s="64"/>
      <c r="AE64" s="64">
        <v>14.3</v>
      </c>
      <c r="AF64" s="64">
        <v>14.3</v>
      </c>
      <c r="AG64" s="54">
        <v>14</v>
      </c>
      <c r="AH64" s="47">
        <f t="shared" si="2"/>
        <v>14.3</v>
      </c>
      <c r="AI64" s="48">
        <f t="shared" si="3"/>
        <v>14.3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/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/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C68" si="16">SUM(B55:B67)</f>
        <v>416.14000000000004</v>
      </c>
      <c r="C68" s="60">
        <f t="shared" si="16"/>
        <v>413.84000000000003</v>
      </c>
      <c r="D68" s="60">
        <f t="shared" ref="D68" si="17">SUM(D55:D67)</f>
        <v>394.84000000000003</v>
      </c>
      <c r="E68" s="60">
        <f t="shared" ref="E68:AG68" si="18">SUM(E55:E67)</f>
        <v>398.34</v>
      </c>
      <c r="F68" s="60">
        <f t="shared" si="18"/>
        <v>396.34</v>
      </c>
      <c r="G68" s="60">
        <f t="shared" si="18"/>
        <v>398.94</v>
      </c>
      <c r="H68" s="60">
        <f t="shared" si="18"/>
        <v>419.03999999999996</v>
      </c>
      <c r="I68" s="60">
        <f t="shared" si="18"/>
        <v>419.94</v>
      </c>
      <c r="J68" s="60">
        <f t="shared" si="18"/>
        <v>422.24</v>
      </c>
      <c r="K68" s="60">
        <f t="shared" si="18"/>
        <v>433.54</v>
      </c>
      <c r="L68" s="60">
        <f t="shared" si="18"/>
        <v>438.34</v>
      </c>
      <c r="M68" s="60">
        <f t="shared" si="18"/>
        <v>438.34</v>
      </c>
      <c r="N68" s="60">
        <f t="shared" si="18"/>
        <v>438.34</v>
      </c>
      <c r="O68" s="60">
        <f t="shared" si="18"/>
        <v>438.34</v>
      </c>
      <c r="P68" s="60">
        <f t="shared" si="18"/>
        <v>438.34</v>
      </c>
      <c r="Q68" s="60">
        <f t="shared" si="18"/>
        <v>438.34</v>
      </c>
      <c r="R68" s="60">
        <f t="shared" si="18"/>
        <v>438.34</v>
      </c>
      <c r="S68" s="60">
        <f t="shared" si="18"/>
        <v>435.74</v>
      </c>
      <c r="T68" s="60">
        <f t="shared" si="18"/>
        <v>432.44</v>
      </c>
      <c r="U68" s="60">
        <f t="shared" si="18"/>
        <v>428.74</v>
      </c>
      <c r="V68" s="60">
        <f t="shared" si="18"/>
        <v>423.74</v>
      </c>
      <c r="W68" s="60">
        <f t="shared" si="18"/>
        <v>423.44</v>
      </c>
      <c r="X68" s="60">
        <f t="shared" si="18"/>
        <v>423.44</v>
      </c>
      <c r="Y68" s="60">
        <f t="shared" si="18"/>
        <v>438.14</v>
      </c>
      <c r="Z68" s="60">
        <f t="shared" si="18"/>
        <v>438.14</v>
      </c>
      <c r="AA68" s="60">
        <f t="shared" si="18"/>
        <v>438.14</v>
      </c>
      <c r="AB68" s="60">
        <f t="shared" si="18"/>
        <v>420.74</v>
      </c>
      <c r="AC68" s="60">
        <f t="shared" si="18"/>
        <v>423.03999999999996</v>
      </c>
      <c r="AD68" s="60">
        <f t="shared" si="18"/>
        <v>3.54</v>
      </c>
      <c r="AE68" s="60">
        <f t="shared" ref="AE68:AF68" si="19">SUM(AE55:AE67)</f>
        <v>422.24</v>
      </c>
      <c r="AF68" s="60">
        <f t="shared" si="19"/>
        <v>415.74000000000007</v>
      </c>
      <c r="AG68" s="61">
        <f t="shared" si="18"/>
        <v>489.91</v>
      </c>
      <c r="AH68" s="47">
        <f t="shared" si="2"/>
        <v>438.34</v>
      </c>
      <c r="AI68" s="48">
        <f t="shared" si="3"/>
        <v>3.54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>
        <v>20.7</v>
      </c>
      <c r="T69" s="45">
        <v>24.9</v>
      </c>
      <c r="U69" s="45">
        <v>13.9</v>
      </c>
      <c r="V69" s="45">
        <v>0</v>
      </c>
      <c r="W69" s="45">
        <v>0</v>
      </c>
      <c r="X69" s="45">
        <v>0</v>
      </c>
      <c r="Y69" s="45">
        <v>30.4</v>
      </c>
      <c r="Z69" s="45">
        <v>14.3</v>
      </c>
      <c r="AA69" s="45">
        <v>0</v>
      </c>
      <c r="AB69" s="45">
        <v>0</v>
      </c>
      <c r="AC69" s="45">
        <v>0</v>
      </c>
      <c r="AD69" s="45"/>
      <c r="AE69" s="45">
        <v>0</v>
      </c>
      <c r="AF69" s="45">
        <v>0</v>
      </c>
      <c r="AG69" s="51">
        <v>60</v>
      </c>
      <c r="AH69" s="47">
        <f t="shared" si="2"/>
        <v>30.4</v>
      </c>
      <c r="AI69" s="48">
        <f t="shared" si="3"/>
        <v>0</v>
      </c>
      <c r="AK69" s="50"/>
    </row>
    <row r="70" spans="1:40" x14ac:dyDescent="0.25">
      <c r="A70" s="53" t="s">
        <v>78</v>
      </c>
      <c r="B70" s="64">
        <v>0</v>
      </c>
      <c r="C70" s="64">
        <v>0</v>
      </c>
      <c r="D70" s="64">
        <v>0</v>
      </c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>
        <v>9.6</v>
      </c>
      <c r="T70" s="64">
        <v>10</v>
      </c>
      <c r="U70" s="64">
        <v>8.6</v>
      </c>
      <c r="V70" s="64">
        <v>0</v>
      </c>
      <c r="W70" s="64">
        <v>0</v>
      </c>
      <c r="X70" s="64">
        <v>0</v>
      </c>
      <c r="Y70" s="64">
        <v>7.5</v>
      </c>
      <c r="Z70" s="64">
        <v>7.6</v>
      </c>
      <c r="AA70" s="64">
        <v>0</v>
      </c>
      <c r="AB70" s="64">
        <v>0</v>
      </c>
      <c r="AC70" s="64">
        <v>0</v>
      </c>
      <c r="AD70" s="64"/>
      <c r="AE70" s="64">
        <v>0</v>
      </c>
      <c r="AF70" s="64">
        <v>0</v>
      </c>
      <c r="AG70" s="54">
        <v>32</v>
      </c>
      <c r="AH70" s="47">
        <f t="shared" si="2"/>
        <v>10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>
        <v>0</v>
      </c>
      <c r="C71" s="66">
        <v>0</v>
      </c>
      <c r="D71" s="66">
        <v>0</v>
      </c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>
        <v>3.5</v>
      </c>
      <c r="T71" s="66">
        <v>3.6</v>
      </c>
      <c r="U71" s="66">
        <v>3.1</v>
      </c>
      <c r="V71" s="66">
        <v>0</v>
      </c>
      <c r="W71" s="66">
        <v>0</v>
      </c>
      <c r="X71" s="66">
        <v>0</v>
      </c>
      <c r="Y71" s="66">
        <v>2.7</v>
      </c>
      <c r="Z71" s="66">
        <v>2.8</v>
      </c>
      <c r="AA71" s="66">
        <v>0</v>
      </c>
      <c r="AB71" s="66">
        <v>0</v>
      </c>
      <c r="AC71" s="66">
        <v>0</v>
      </c>
      <c r="AD71" s="66"/>
      <c r="AE71" s="66">
        <v>0</v>
      </c>
      <c r="AF71" s="66">
        <v>0</v>
      </c>
      <c r="AG71" s="67">
        <v>14</v>
      </c>
      <c r="AH71" s="47">
        <f t="shared" si="2"/>
        <v>3.6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 t="shared" ref="B72:C72" si="20">B69+B70+B71</f>
        <v>0</v>
      </c>
      <c r="C72" s="60">
        <f t="shared" si="20"/>
        <v>0</v>
      </c>
      <c r="D72" s="60">
        <f t="shared" ref="D72" si="21"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D72" si="22">M69+M70+M71</f>
        <v>0</v>
      </c>
      <c r="N72" s="60">
        <f t="shared" si="22"/>
        <v>0</v>
      </c>
      <c r="O72" s="60">
        <f t="shared" si="22"/>
        <v>0</v>
      </c>
      <c r="P72" s="60">
        <f t="shared" si="22"/>
        <v>0</v>
      </c>
      <c r="Q72" s="60">
        <f t="shared" si="22"/>
        <v>0</v>
      </c>
      <c r="R72" s="60">
        <f t="shared" si="22"/>
        <v>0</v>
      </c>
      <c r="S72" s="60">
        <f t="shared" si="22"/>
        <v>33.799999999999997</v>
      </c>
      <c r="T72" s="60">
        <f t="shared" si="22"/>
        <v>38.5</v>
      </c>
      <c r="U72" s="60">
        <f t="shared" si="22"/>
        <v>25.6</v>
      </c>
      <c r="V72" s="60">
        <f t="shared" si="22"/>
        <v>0</v>
      </c>
      <c r="W72" s="60">
        <f t="shared" si="22"/>
        <v>0</v>
      </c>
      <c r="X72" s="60">
        <f t="shared" si="22"/>
        <v>0</v>
      </c>
      <c r="Y72" s="60">
        <f t="shared" si="22"/>
        <v>40.6</v>
      </c>
      <c r="Z72" s="60">
        <f t="shared" si="22"/>
        <v>24.7</v>
      </c>
      <c r="AA72" s="60">
        <f t="shared" si="22"/>
        <v>0</v>
      </c>
      <c r="AB72" s="60">
        <f t="shared" si="22"/>
        <v>0</v>
      </c>
      <c r="AC72" s="60">
        <f t="shared" si="22"/>
        <v>0</v>
      </c>
      <c r="AD72" s="60">
        <f t="shared" si="22"/>
        <v>0</v>
      </c>
      <c r="AE72" s="60">
        <f t="shared" ref="AE72:AF72" si="23">AE69+AE70+AE71</f>
        <v>0</v>
      </c>
      <c r="AF72" s="60">
        <f t="shared" si="23"/>
        <v>0</v>
      </c>
      <c r="AG72" s="61">
        <f>SUM(AG69:AG71)</f>
        <v>106</v>
      </c>
      <c r="AH72" s="47">
        <f t="shared" si="2"/>
        <v>40.6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-62.1</v>
      </c>
      <c r="C73" s="45">
        <v>-63.1</v>
      </c>
      <c r="D73" s="45">
        <v>-71.400000000000006</v>
      </c>
      <c r="E73" s="45">
        <v>-72.3</v>
      </c>
      <c r="F73" s="45">
        <v>-71.900000000000006</v>
      </c>
      <c r="G73" s="45">
        <v>-70</v>
      </c>
      <c r="H73" s="45">
        <v>-70.2</v>
      </c>
      <c r="I73" s="45">
        <v>-70</v>
      </c>
      <c r="J73" s="45">
        <v>-67</v>
      </c>
      <c r="K73" s="45">
        <v>-71</v>
      </c>
      <c r="L73" s="45">
        <v>-71.099999999999994</v>
      </c>
      <c r="M73" s="45">
        <v>-66</v>
      </c>
      <c r="N73" s="45">
        <v>-65</v>
      </c>
      <c r="O73" s="45">
        <v>-62</v>
      </c>
      <c r="P73" s="45">
        <v>-50</v>
      </c>
      <c r="Q73" s="45">
        <v>-60</v>
      </c>
      <c r="R73" s="45">
        <v>-62</v>
      </c>
      <c r="S73" s="45">
        <v>-59.3</v>
      </c>
      <c r="T73" s="45">
        <v>-55.7</v>
      </c>
      <c r="U73" s="45">
        <v>-59.4</v>
      </c>
      <c r="V73" s="45">
        <v>-59.7</v>
      </c>
      <c r="W73" s="45">
        <v>-61.6</v>
      </c>
      <c r="X73" s="45">
        <v>-61.3</v>
      </c>
      <c r="Y73" s="45">
        <v>1.2</v>
      </c>
      <c r="Z73" s="45">
        <v>-2.6</v>
      </c>
      <c r="AA73" s="45">
        <v>-13.6</v>
      </c>
      <c r="AB73" s="45">
        <v>-31.2</v>
      </c>
      <c r="AC73" s="45">
        <v>-22.5</v>
      </c>
      <c r="AD73" s="45"/>
      <c r="AE73" s="45">
        <v>-57</v>
      </c>
      <c r="AF73" s="45">
        <v>-61.8</v>
      </c>
      <c r="AG73" s="51"/>
      <c r="AH73" s="47">
        <f t="shared" si="2"/>
        <v>1.2</v>
      </c>
      <c r="AI73" s="48">
        <f t="shared" si="3"/>
        <v>-72.3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/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-588.20000000000005</v>
      </c>
      <c r="C75" s="64">
        <v>-602.20000000000005</v>
      </c>
      <c r="D75" s="64">
        <v>-598</v>
      </c>
      <c r="E75" s="64">
        <v>-604.29999999999995</v>
      </c>
      <c r="F75" s="64">
        <v>-635</v>
      </c>
      <c r="G75" s="64">
        <v>-603.9</v>
      </c>
      <c r="H75" s="64">
        <v>-609.4</v>
      </c>
      <c r="I75" s="64">
        <v>-618.6</v>
      </c>
      <c r="J75" s="64">
        <v>-625.5</v>
      </c>
      <c r="K75" s="64">
        <v>-621.4</v>
      </c>
      <c r="L75" s="64">
        <v>-633.4</v>
      </c>
      <c r="M75" s="64">
        <v>-625</v>
      </c>
      <c r="N75" s="64">
        <v>-560</v>
      </c>
      <c r="O75" s="64">
        <v>-609</v>
      </c>
      <c r="P75" s="64">
        <v>-548</v>
      </c>
      <c r="Q75" s="64">
        <v>-550</v>
      </c>
      <c r="R75" s="64">
        <v>-594</v>
      </c>
      <c r="S75" s="64">
        <v>-557.20000000000005</v>
      </c>
      <c r="T75" s="64">
        <v>-517.20000000000005</v>
      </c>
      <c r="U75" s="64">
        <v>-551.29999999999995</v>
      </c>
      <c r="V75" s="64">
        <v>-522.20000000000005</v>
      </c>
      <c r="W75" s="64">
        <v>-592</v>
      </c>
      <c r="X75" s="64">
        <v>-527.4</v>
      </c>
      <c r="Y75" s="64">
        <v>-541</v>
      </c>
      <c r="Z75" s="64">
        <v>-563</v>
      </c>
      <c r="AA75" s="64">
        <v>-543.79999999999995</v>
      </c>
      <c r="AB75" s="64">
        <v>-567.6</v>
      </c>
      <c r="AC75" s="64">
        <v>-560.20000000000005</v>
      </c>
      <c r="AD75" s="64"/>
      <c r="AE75" s="64">
        <v>-610</v>
      </c>
      <c r="AF75" s="64">
        <v>-598.1</v>
      </c>
      <c r="AG75" s="74"/>
      <c r="AH75" s="47">
        <f t="shared" si="2"/>
        <v>-517.20000000000005</v>
      </c>
      <c r="AI75" s="48">
        <f t="shared" si="3"/>
        <v>-635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64"/>
      <c r="AE76" s="75">
        <v>0</v>
      </c>
      <c r="AF76" s="75">
        <v>0</v>
      </c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/>
      <c r="AE77" s="45">
        <v>0</v>
      </c>
      <c r="AF77" s="45">
        <v>0</v>
      </c>
      <c r="AG77" s="74"/>
      <c r="AH77" s="47">
        <f t="shared" ref="AH77:AH120" si="24">MAX(B77:AF77)</f>
        <v>0</v>
      </c>
      <c r="AI77" s="48">
        <f t="shared" ref="AI77:AI120" si="25">MIN(B77:AF77)</f>
        <v>0</v>
      </c>
      <c r="AK77" s="50"/>
    </row>
    <row r="78" spans="1:40" x14ac:dyDescent="0.25">
      <c r="A78" s="53" t="s">
        <v>86</v>
      </c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/>
      <c r="AE78" s="76">
        <v>0</v>
      </c>
      <c r="AF78" s="76">
        <v>0</v>
      </c>
      <c r="AG78" s="74"/>
      <c r="AH78" s="47">
        <f t="shared" si="24"/>
        <v>0</v>
      </c>
      <c r="AI78" s="48">
        <f t="shared" si="25"/>
        <v>0</v>
      </c>
      <c r="AK78" s="50"/>
    </row>
    <row r="79" spans="1:40" ht="15.75" thickBot="1" x14ac:dyDescent="0.3">
      <c r="A79" s="53" t="s">
        <v>87</v>
      </c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>
        <v>0</v>
      </c>
      <c r="AD79" s="76"/>
      <c r="AE79" s="76">
        <v>0</v>
      </c>
      <c r="AF79" s="76">
        <v>0</v>
      </c>
      <c r="AG79" s="74"/>
      <c r="AH79" s="47">
        <f t="shared" si="24"/>
        <v>0</v>
      </c>
      <c r="AI79" s="48">
        <f t="shared" si="25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6">
        <v>0</v>
      </c>
      <c r="Z80" s="76">
        <v>0</v>
      </c>
      <c r="AA80" s="76">
        <v>0</v>
      </c>
      <c r="AB80" s="76">
        <v>0</v>
      </c>
      <c r="AC80" s="76">
        <v>0</v>
      </c>
      <c r="AD80" s="76"/>
      <c r="AE80" s="76">
        <v>0</v>
      </c>
      <c r="AF80" s="76">
        <v>0</v>
      </c>
      <c r="AG80" s="74"/>
      <c r="AH80" s="47">
        <f t="shared" si="24"/>
        <v>0</v>
      </c>
      <c r="AI80" s="48">
        <f t="shared" si="25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6">
        <v>0</v>
      </c>
      <c r="Z81" s="76">
        <v>0</v>
      </c>
      <c r="AA81" s="76">
        <v>0</v>
      </c>
      <c r="AB81" s="76">
        <v>0</v>
      </c>
      <c r="AC81" s="76">
        <v>0</v>
      </c>
      <c r="AD81" s="76"/>
      <c r="AE81" s="76">
        <v>0</v>
      </c>
      <c r="AF81" s="76">
        <v>0</v>
      </c>
      <c r="AG81" s="74"/>
      <c r="AH81" s="47">
        <f t="shared" si="24"/>
        <v>0</v>
      </c>
      <c r="AI81" s="48">
        <f t="shared" si="25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6">
        <v>0</v>
      </c>
      <c r="Z82" s="76">
        <v>0</v>
      </c>
      <c r="AA82" s="76">
        <v>0</v>
      </c>
      <c r="AB82" s="76">
        <v>0</v>
      </c>
      <c r="AC82" s="76">
        <v>0</v>
      </c>
      <c r="AD82" s="76"/>
      <c r="AE82" s="76">
        <v>0</v>
      </c>
      <c r="AF82" s="76">
        <v>0</v>
      </c>
      <c r="AG82" s="84"/>
      <c r="AH82" s="47">
        <f t="shared" si="24"/>
        <v>0</v>
      </c>
      <c r="AI82" s="48">
        <f t="shared" si="25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6">
        <v>0</v>
      </c>
      <c r="Z83" s="76">
        <v>0</v>
      </c>
      <c r="AA83" s="76">
        <v>0</v>
      </c>
      <c r="AB83" s="76">
        <v>0</v>
      </c>
      <c r="AC83" s="76">
        <v>0</v>
      </c>
      <c r="AD83" s="76"/>
      <c r="AE83" s="76">
        <v>0</v>
      </c>
      <c r="AF83" s="76">
        <v>0</v>
      </c>
      <c r="AG83" s="84"/>
      <c r="AH83" s="47">
        <f t="shared" si="24"/>
        <v>0</v>
      </c>
      <c r="AI83" s="48">
        <f t="shared" si="25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C84" si="26">SUMIF(B73:B83,"&gt;0")</f>
        <v>0</v>
      </c>
      <c r="C84" s="60">
        <f t="shared" si="26"/>
        <v>0</v>
      </c>
      <c r="D84" s="60">
        <f t="shared" ref="D84:AD84" si="27">SUMIF(D73:D83,"&gt;0")</f>
        <v>0</v>
      </c>
      <c r="E84" s="60">
        <f t="shared" si="27"/>
        <v>0</v>
      </c>
      <c r="F84" s="60">
        <f t="shared" si="27"/>
        <v>0</v>
      </c>
      <c r="G84" s="60">
        <f t="shared" si="27"/>
        <v>0</v>
      </c>
      <c r="H84" s="60">
        <f t="shared" si="27"/>
        <v>0</v>
      </c>
      <c r="I84" s="60">
        <f t="shared" si="27"/>
        <v>0</v>
      </c>
      <c r="J84" s="60">
        <f t="shared" si="27"/>
        <v>0</v>
      </c>
      <c r="K84" s="60">
        <f t="shared" si="27"/>
        <v>0</v>
      </c>
      <c r="L84" s="60">
        <f t="shared" si="27"/>
        <v>0</v>
      </c>
      <c r="M84" s="60">
        <f t="shared" si="27"/>
        <v>0</v>
      </c>
      <c r="N84" s="60">
        <f t="shared" si="27"/>
        <v>0</v>
      </c>
      <c r="O84" s="60">
        <f t="shared" si="27"/>
        <v>0</v>
      </c>
      <c r="P84" s="60">
        <f t="shared" si="27"/>
        <v>0</v>
      </c>
      <c r="Q84" s="60">
        <f t="shared" si="27"/>
        <v>0</v>
      </c>
      <c r="R84" s="60">
        <f t="shared" si="27"/>
        <v>0</v>
      </c>
      <c r="S84" s="60">
        <f t="shared" si="27"/>
        <v>0</v>
      </c>
      <c r="T84" s="60">
        <f t="shared" si="27"/>
        <v>0</v>
      </c>
      <c r="U84" s="60">
        <f t="shared" si="27"/>
        <v>0</v>
      </c>
      <c r="V84" s="60">
        <f t="shared" si="27"/>
        <v>0</v>
      </c>
      <c r="W84" s="60">
        <f t="shared" si="27"/>
        <v>0</v>
      </c>
      <c r="X84" s="60">
        <f t="shared" si="27"/>
        <v>0</v>
      </c>
      <c r="Y84" s="60">
        <f t="shared" si="27"/>
        <v>1.2</v>
      </c>
      <c r="Z84" s="60">
        <f t="shared" si="27"/>
        <v>0</v>
      </c>
      <c r="AA84" s="60">
        <f t="shared" si="27"/>
        <v>0</v>
      </c>
      <c r="AB84" s="60">
        <f t="shared" si="27"/>
        <v>0</v>
      </c>
      <c r="AC84" s="60">
        <f t="shared" si="27"/>
        <v>0</v>
      </c>
      <c r="AD84" s="60">
        <f t="shared" si="27"/>
        <v>0</v>
      </c>
      <c r="AE84" s="60">
        <f t="shared" ref="AE84:AF84" si="28">SUMIF(AE73:AE83,"&gt;0")</f>
        <v>0</v>
      </c>
      <c r="AF84" s="60">
        <f t="shared" si="28"/>
        <v>0</v>
      </c>
      <c r="AG84" s="87">
        <f>SUM(AG73:AG83)</f>
        <v>0</v>
      </c>
      <c r="AH84" s="47">
        <f t="shared" si="24"/>
        <v>1.2</v>
      </c>
      <c r="AI84" s="48">
        <f t="shared" si="25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24"/>
        <v>0</v>
      </c>
      <c r="AI85" s="48">
        <f t="shared" si="25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24"/>
        <v>0</v>
      </c>
      <c r="AI86" s="48">
        <f t="shared" si="25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24"/>
        <v>0</v>
      </c>
      <c r="AI87" s="48">
        <f t="shared" si="25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24"/>
        <v>0</v>
      </c>
      <c r="AI88" s="48">
        <f t="shared" si="25"/>
        <v>0</v>
      </c>
    </row>
    <row r="89" spans="1:40" ht="15.75" thickBot="1" x14ac:dyDescent="0.3">
      <c r="A89" s="73" t="s">
        <v>100</v>
      </c>
      <c r="B89" s="94">
        <f t="shared" ref="B89:C89" si="29">B50+B54+B72+B68+B84+B88</f>
        <v>2090.84</v>
      </c>
      <c r="C89" s="94">
        <f t="shared" si="29"/>
        <v>2088.94</v>
      </c>
      <c r="D89" s="94">
        <f t="shared" ref="D89:AG89" si="30">D50+D54+D72+D68+D84+D88</f>
        <v>2057.44</v>
      </c>
      <c r="E89" s="94">
        <f t="shared" si="30"/>
        <v>2042.9399999999998</v>
      </c>
      <c r="F89" s="94">
        <f t="shared" si="30"/>
        <v>2032.9399999999998</v>
      </c>
      <c r="G89" s="94">
        <f t="shared" si="30"/>
        <v>2035.54</v>
      </c>
      <c r="H89" s="94">
        <f t="shared" si="30"/>
        <v>2063.64</v>
      </c>
      <c r="I89" s="94">
        <f t="shared" si="30"/>
        <v>2077.64</v>
      </c>
      <c r="J89" s="94">
        <f t="shared" si="30"/>
        <v>2096.54</v>
      </c>
      <c r="K89" s="94">
        <f t="shared" si="30"/>
        <v>2170.84</v>
      </c>
      <c r="L89" s="94">
        <f t="shared" si="30"/>
        <v>2172.2400000000002</v>
      </c>
      <c r="M89" s="94">
        <f t="shared" si="30"/>
        <v>2172.2400000000002</v>
      </c>
      <c r="N89" s="94">
        <f t="shared" si="30"/>
        <v>2108.2400000000002</v>
      </c>
      <c r="O89" s="94">
        <f t="shared" si="30"/>
        <v>2120.2400000000002</v>
      </c>
      <c r="P89" s="94">
        <f t="shared" si="30"/>
        <v>2120.2400000000002</v>
      </c>
      <c r="Q89" s="94">
        <f t="shared" si="30"/>
        <v>2120.2400000000002</v>
      </c>
      <c r="R89" s="94">
        <f t="shared" si="30"/>
        <v>2135.2400000000002</v>
      </c>
      <c r="S89" s="94">
        <f t="shared" si="30"/>
        <v>2087.64</v>
      </c>
      <c r="T89" s="94">
        <f t="shared" si="30"/>
        <v>2048.64</v>
      </c>
      <c r="U89" s="94">
        <f t="shared" si="30"/>
        <v>2032.04</v>
      </c>
      <c r="V89" s="94">
        <f t="shared" si="30"/>
        <v>2001.44</v>
      </c>
      <c r="W89" s="94">
        <f t="shared" si="30"/>
        <v>2101.54</v>
      </c>
      <c r="X89" s="94">
        <f t="shared" si="30"/>
        <v>2184.54</v>
      </c>
      <c r="Y89" s="94">
        <f t="shared" si="30"/>
        <v>2255.4399999999996</v>
      </c>
      <c r="Z89" s="94">
        <f t="shared" si="30"/>
        <v>2238.34</v>
      </c>
      <c r="AA89" s="94">
        <f t="shared" si="30"/>
        <v>2197.94</v>
      </c>
      <c r="AB89" s="94">
        <f t="shared" si="30"/>
        <v>2184.9400000000005</v>
      </c>
      <c r="AC89" s="94">
        <f t="shared" si="30"/>
        <v>2180.14</v>
      </c>
      <c r="AD89" s="94">
        <f t="shared" si="30"/>
        <v>3.54</v>
      </c>
      <c r="AE89" s="94">
        <f t="shared" ref="AE89:AF89" si="31">AE50+AE54+AE72+AE68+AE84+AE88</f>
        <v>2160.25</v>
      </c>
      <c r="AF89" s="94">
        <f t="shared" si="31"/>
        <v>2095.7400000000002</v>
      </c>
      <c r="AG89" s="61">
        <f t="shared" si="30"/>
        <v>2111.5500000000002</v>
      </c>
      <c r="AH89" s="47">
        <f t="shared" si="24"/>
        <v>2255.4399999999996</v>
      </c>
      <c r="AI89" s="48">
        <f t="shared" si="25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>
        <v>30</v>
      </c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24"/>
        <v>30</v>
      </c>
      <c r="AI90" s="48">
        <f t="shared" si="25"/>
        <v>30</v>
      </c>
    </row>
    <row r="91" spans="1:40" ht="15.75" thickBot="1" x14ac:dyDescent="0.3">
      <c r="A91" s="73" t="s">
        <v>102</v>
      </c>
      <c r="B91" s="94">
        <f t="shared" ref="B91:C91" si="32">B89+B90</f>
        <v>2090.84</v>
      </c>
      <c r="C91" s="94">
        <f t="shared" si="32"/>
        <v>2088.94</v>
      </c>
      <c r="D91" s="94">
        <f t="shared" ref="D91:AD91" si="33">D89+D90</f>
        <v>2057.44</v>
      </c>
      <c r="E91" s="94">
        <f t="shared" si="33"/>
        <v>2042.9399999999998</v>
      </c>
      <c r="F91" s="94">
        <f t="shared" si="33"/>
        <v>2032.9399999999998</v>
      </c>
      <c r="G91" s="94">
        <f t="shared" si="33"/>
        <v>2035.54</v>
      </c>
      <c r="H91" s="94">
        <f t="shared" si="33"/>
        <v>2063.64</v>
      </c>
      <c r="I91" s="94">
        <f t="shared" si="33"/>
        <v>2077.64</v>
      </c>
      <c r="J91" s="94">
        <f t="shared" si="33"/>
        <v>2096.54</v>
      </c>
      <c r="K91" s="94">
        <f t="shared" si="33"/>
        <v>2170.84</v>
      </c>
      <c r="L91" s="94">
        <f t="shared" si="33"/>
        <v>2172.2400000000002</v>
      </c>
      <c r="M91" s="94">
        <f t="shared" si="33"/>
        <v>2172.2400000000002</v>
      </c>
      <c r="N91" s="94">
        <f t="shared" si="33"/>
        <v>2108.2400000000002</v>
      </c>
      <c r="O91" s="94">
        <f t="shared" si="33"/>
        <v>2120.2400000000002</v>
      </c>
      <c r="P91" s="94">
        <f t="shared" si="33"/>
        <v>2120.2400000000002</v>
      </c>
      <c r="Q91" s="94">
        <f t="shared" si="33"/>
        <v>2120.2400000000002</v>
      </c>
      <c r="R91" s="94">
        <f t="shared" si="33"/>
        <v>2135.2400000000002</v>
      </c>
      <c r="S91" s="94">
        <f t="shared" si="33"/>
        <v>2087.64</v>
      </c>
      <c r="T91" s="94">
        <f t="shared" si="33"/>
        <v>2078.64</v>
      </c>
      <c r="U91" s="94">
        <f t="shared" si="33"/>
        <v>2032.04</v>
      </c>
      <c r="V91" s="94">
        <f t="shared" si="33"/>
        <v>2001.44</v>
      </c>
      <c r="W91" s="94">
        <f t="shared" si="33"/>
        <v>2101.54</v>
      </c>
      <c r="X91" s="94">
        <f t="shared" si="33"/>
        <v>2184.54</v>
      </c>
      <c r="Y91" s="94">
        <f t="shared" si="33"/>
        <v>2255.4399999999996</v>
      </c>
      <c r="Z91" s="94">
        <f t="shared" si="33"/>
        <v>2238.34</v>
      </c>
      <c r="AA91" s="94">
        <f t="shared" si="33"/>
        <v>2197.94</v>
      </c>
      <c r="AB91" s="94">
        <f t="shared" si="33"/>
        <v>2184.9400000000005</v>
      </c>
      <c r="AC91" s="94">
        <f t="shared" si="33"/>
        <v>2180.14</v>
      </c>
      <c r="AD91" s="94">
        <f t="shared" si="33"/>
        <v>3.54</v>
      </c>
      <c r="AE91" s="94">
        <f t="shared" ref="AE91:AF91" si="34">AE89+AE90</f>
        <v>2160.25</v>
      </c>
      <c r="AF91" s="94">
        <f t="shared" si="34"/>
        <v>2095.7400000000002</v>
      </c>
      <c r="AG91" s="87">
        <f>AG88+AG84+AG72+AG68+AG50+AG90</f>
        <v>1573.45</v>
      </c>
      <c r="AH91" s="47">
        <f t="shared" si="24"/>
        <v>2255.4399999999996</v>
      </c>
      <c r="AI91" s="48">
        <f t="shared" si="25"/>
        <v>3.54</v>
      </c>
    </row>
    <row r="92" spans="1:40" ht="15.75" thickBot="1" x14ac:dyDescent="0.3">
      <c r="A92" s="73" t="s">
        <v>103</v>
      </c>
      <c r="B92" s="94">
        <f t="shared" ref="B92:C92" si="35">B91-(-B99)</f>
        <v>1502.64</v>
      </c>
      <c r="C92" s="94">
        <f t="shared" si="35"/>
        <v>1486.74</v>
      </c>
      <c r="D92" s="94">
        <f t="shared" ref="D92:AD92" si="36">D91-(-D99)</f>
        <v>1459.44</v>
      </c>
      <c r="E92" s="94">
        <f t="shared" si="36"/>
        <v>1438.6399999999999</v>
      </c>
      <c r="F92" s="94">
        <f t="shared" si="36"/>
        <v>1397.9399999999998</v>
      </c>
      <c r="G92" s="94">
        <f t="shared" si="36"/>
        <v>1431.6399999999999</v>
      </c>
      <c r="H92" s="94">
        <f t="shared" si="36"/>
        <v>1454.2399999999998</v>
      </c>
      <c r="I92" s="94">
        <f t="shared" si="36"/>
        <v>1459.04</v>
      </c>
      <c r="J92" s="94">
        <f t="shared" si="36"/>
        <v>1471.04</v>
      </c>
      <c r="K92" s="94">
        <f t="shared" si="36"/>
        <v>1549.44</v>
      </c>
      <c r="L92" s="94">
        <f t="shared" si="36"/>
        <v>1538.8400000000001</v>
      </c>
      <c r="M92" s="94">
        <f t="shared" si="36"/>
        <v>1547.2400000000002</v>
      </c>
      <c r="N92" s="94">
        <f t="shared" si="36"/>
        <v>1548.2400000000002</v>
      </c>
      <c r="O92" s="94">
        <f t="shared" si="36"/>
        <v>1511.2400000000002</v>
      </c>
      <c r="P92" s="94">
        <f t="shared" si="36"/>
        <v>1572.2400000000002</v>
      </c>
      <c r="Q92" s="94">
        <f t="shared" si="36"/>
        <v>1570.2400000000002</v>
      </c>
      <c r="R92" s="94">
        <f t="shared" si="36"/>
        <v>1541.2400000000002</v>
      </c>
      <c r="S92" s="94">
        <f t="shared" si="36"/>
        <v>1530.4399999999998</v>
      </c>
      <c r="T92" s="94">
        <f t="shared" si="36"/>
        <v>1561.4399999999998</v>
      </c>
      <c r="U92" s="94">
        <f t="shared" si="36"/>
        <v>1480.74</v>
      </c>
      <c r="V92" s="94">
        <f t="shared" si="36"/>
        <v>1479.24</v>
      </c>
      <c r="W92" s="94">
        <f t="shared" si="36"/>
        <v>1509.54</v>
      </c>
      <c r="X92" s="94">
        <f t="shared" si="36"/>
        <v>1657.1399999999999</v>
      </c>
      <c r="Y92" s="94">
        <f t="shared" si="36"/>
        <v>1714.4399999999996</v>
      </c>
      <c r="Z92" s="94">
        <f t="shared" si="36"/>
        <v>1675.3400000000001</v>
      </c>
      <c r="AA92" s="94">
        <f t="shared" si="36"/>
        <v>1654.14</v>
      </c>
      <c r="AB92" s="94">
        <f t="shared" si="36"/>
        <v>1617.3400000000006</v>
      </c>
      <c r="AC92" s="94">
        <f t="shared" si="36"/>
        <v>1619.9399999999998</v>
      </c>
      <c r="AD92" s="94">
        <f t="shared" si="36"/>
        <v>3.54</v>
      </c>
      <c r="AE92" s="94">
        <f t="shared" ref="AE92:AF92" si="37">AE91-(-AE99)</f>
        <v>1550.25</v>
      </c>
      <c r="AF92" s="94">
        <f t="shared" si="37"/>
        <v>1497.6400000000003</v>
      </c>
      <c r="AG92" s="87"/>
      <c r="AH92" s="47">
        <f t="shared" si="24"/>
        <v>1714.4399999999996</v>
      </c>
      <c r="AI92" s="48">
        <f t="shared" si="25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24"/>
        <v>0</v>
      </c>
      <c r="AI93" s="48">
        <f t="shared" si="25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24"/>
        <v>0</v>
      </c>
      <c r="AI94" s="48">
        <f t="shared" si="25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24"/>
        <v>0</v>
      </c>
      <c r="AI95" s="48">
        <f t="shared" si="25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24"/>
        <v>0</v>
      </c>
      <c r="AI96" s="48">
        <f t="shared" si="25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24"/>
        <v>0</v>
      </c>
      <c r="AI97" s="48">
        <f t="shared" si="25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24"/>
        <v>0</v>
      </c>
      <c r="AI98" s="48">
        <f t="shared" si="25"/>
        <v>0</v>
      </c>
    </row>
    <row r="99" spans="1:37" ht="15.75" thickBot="1" x14ac:dyDescent="0.3">
      <c r="A99" s="98" t="s">
        <v>107</v>
      </c>
      <c r="B99" s="60">
        <f t="shared" ref="B99:C99" si="38">B75</f>
        <v>-588.20000000000005</v>
      </c>
      <c r="C99" s="60">
        <f t="shared" si="38"/>
        <v>-602.20000000000005</v>
      </c>
      <c r="D99" s="60">
        <f t="shared" ref="D99:AD99" si="39">D75</f>
        <v>-598</v>
      </c>
      <c r="E99" s="60">
        <f t="shared" si="39"/>
        <v>-604.29999999999995</v>
      </c>
      <c r="F99" s="60">
        <f t="shared" si="39"/>
        <v>-635</v>
      </c>
      <c r="G99" s="60">
        <f t="shared" si="39"/>
        <v>-603.9</v>
      </c>
      <c r="H99" s="60">
        <f t="shared" si="39"/>
        <v>-609.4</v>
      </c>
      <c r="I99" s="60">
        <f t="shared" si="39"/>
        <v>-618.6</v>
      </c>
      <c r="J99" s="60">
        <f t="shared" si="39"/>
        <v>-625.5</v>
      </c>
      <c r="K99" s="60">
        <f t="shared" si="39"/>
        <v>-621.4</v>
      </c>
      <c r="L99" s="60">
        <f t="shared" si="39"/>
        <v>-633.4</v>
      </c>
      <c r="M99" s="60">
        <f t="shared" si="39"/>
        <v>-625</v>
      </c>
      <c r="N99" s="60">
        <f t="shared" si="39"/>
        <v>-560</v>
      </c>
      <c r="O99" s="60">
        <f t="shared" si="39"/>
        <v>-609</v>
      </c>
      <c r="P99" s="60">
        <f t="shared" si="39"/>
        <v>-548</v>
      </c>
      <c r="Q99" s="60">
        <f t="shared" si="39"/>
        <v>-550</v>
      </c>
      <c r="R99" s="60">
        <f t="shared" si="39"/>
        <v>-594</v>
      </c>
      <c r="S99" s="60">
        <f t="shared" si="39"/>
        <v>-557.20000000000005</v>
      </c>
      <c r="T99" s="60">
        <f t="shared" si="39"/>
        <v>-517.20000000000005</v>
      </c>
      <c r="U99" s="60">
        <f t="shared" si="39"/>
        <v>-551.29999999999995</v>
      </c>
      <c r="V99" s="60">
        <f t="shared" si="39"/>
        <v>-522.20000000000005</v>
      </c>
      <c r="W99" s="60">
        <f t="shared" si="39"/>
        <v>-592</v>
      </c>
      <c r="X99" s="60">
        <f t="shared" si="39"/>
        <v>-527.4</v>
      </c>
      <c r="Y99" s="60">
        <f t="shared" si="39"/>
        <v>-541</v>
      </c>
      <c r="Z99" s="60">
        <f t="shared" si="39"/>
        <v>-563</v>
      </c>
      <c r="AA99" s="60">
        <f t="shared" si="39"/>
        <v>-543.79999999999995</v>
      </c>
      <c r="AB99" s="60">
        <f t="shared" si="39"/>
        <v>-567.6</v>
      </c>
      <c r="AC99" s="60">
        <f t="shared" si="39"/>
        <v>-560.20000000000005</v>
      </c>
      <c r="AD99" s="60">
        <f t="shared" si="39"/>
        <v>0</v>
      </c>
      <c r="AE99" s="60">
        <f t="shared" ref="AE99:AF99" si="40">AE75</f>
        <v>-610</v>
      </c>
      <c r="AF99" s="60">
        <f t="shared" si="40"/>
        <v>-598.1</v>
      </c>
      <c r="AG99" s="87"/>
      <c r="AH99" s="47">
        <f t="shared" si="24"/>
        <v>0</v>
      </c>
      <c r="AI99" s="48">
        <f t="shared" si="25"/>
        <v>-635</v>
      </c>
      <c r="AK99" s="50"/>
    </row>
    <row r="100" spans="1:37" ht="15.75" thickBot="1" x14ac:dyDescent="0.3">
      <c r="A100" s="73" t="s">
        <v>108</v>
      </c>
      <c r="B100" s="60">
        <f t="shared" ref="B100:C100" si="41">B84-B99</f>
        <v>588.20000000000005</v>
      </c>
      <c r="C100" s="60">
        <f t="shared" si="41"/>
        <v>602.20000000000005</v>
      </c>
      <c r="D100" s="60">
        <f t="shared" ref="D100:AD100" si="42">D84-D99</f>
        <v>598</v>
      </c>
      <c r="E100" s="60">
        <f t="shared" si="42"/>
        <v>604.29999999999995</v>
      </c>
      <c r="F100" s="60">
        <f t="shared" si="42"/>
        <v>635</v>
      </c>
      <c r="G100" s="60">
        <f t="shared" si="42"/>
        <v>603.9</v>
      </c>
      <c r="H100" s="60">
        <f t="shared" si="42"/>
        <v>609.4</v>
      </c>
      <c r="I100" s="60">
        <f t="shared" si="42"/>
        <v>618.6</v>
      </c>
      <c r="J100" s="60">
        <f t="shared" si="42"/>
        <v>625.5</v>
      </c>
      <c r="K100" s="60">
        <f t="shared" si="42"/>
        <v>621.4</v>
      </c>
      <c r="L100" s="60">
        <f t="shared" si="42"/>
        <v>633.4</v>
      </c>
      <c r="M100" s="60">
        <f t="shared" si="42"/>
        <v>625</v>
      </c>
      <c r="N100" s="60">
        <f t="shared" si="42"/>
        <v>560</v>
      </c>
      <c r="O100" s="60">
        <f t="shared" si="42"/>
        <v>609</v>
      </c>
      <c r="P100" s="60">
        <f t="shared" si="42"/>
        <v>548</v>
      </c>
      <c r="Q100" s="60">
        <f t="shared" si="42"/>
        <v>550</v>
      </c>
      <c r="R100" s="60">
        <f t="shared" si="42"/>
        <v>594</v>
      </c>
      <c r="S100" s="60">
        <f t="shared" si="42"/>
        <v>557.20000000000005</v>
      </c>
      <c r="T100" s="60">
        <f t="shared" si="42"/>
        <v>517.20000000000005</v>
      </c>
      <c r="U100" s="60">
        <f t="shared" si="42"/>
        <v>551.29999999999995</v>
      </c>
      <c r="V100" s="60">
        <f t="shared" si="42"/>
        <v>522.20000000000005</v>
      </c>
      <c r="W100" s="60">
        <f t="shared" si="42"/>
        <v>592</v>
      </c>
      <c r="X100" s="60">
        <f t="shared" si="42"/>
        <v>527.4</v>
      </c>
      <c r="Y100" s="60">
        <f t="shared" si="42"/>
        <v>542.20000000000005</v>
      </c>
      <c r="Z100" s="60">
        <f t="shared" si="42"/>
        <v>563</v>
      </c>
      <c r="AA100" s="60">
        <f t="shared" si="42"/>
        <v>543.79999999999995</v>
      </c>
      <c r="AB100" s="60">
        <f t="shared" si="42"/>
        <v>567.6</v>
      </c>
      <c r="AC100" s="60">
        <f t="shared" si="42"/>
        <v>560.20000000000005</v>
      </c>
      <c r="AD100" s="60">
        <f t="shared" si="42"/>
        <v>0</v>
      </c>
      <c r="AE100" s="60">
        <f t="shared" ref="AE100:AF100" si="43">AE84-AE99</f>
        <v>610</v>
      </c>
      <c r="AF100" s="60">
        <f t="shared" si="43"/>
        <v>598.1</v>
      </c>
      <c r="AG100" s="87"/>
      <c r="AH100" s="47">
        <f t="shared" si="24"/>
        <v>635</v>
      </c>
      <c r="AI100" s="48">
        <f t="shared" si="25"/>
        <v>0</v>
      </c>
    </row>
    <row r="101" spans="1:37" x14ac:dyDescent="0.25">
      <c r="A101" s="99" t="s">
        <v>109</v>
      </c>
      <c r="B101" s="100">
        <v>50.01</v>
      </c>
      <c r="C101" s="100">
        <v>50.02</v>
      </c>
      <c r="D101" s="100">
        <v>50</v>
      </c>
      <c r="E101" s="100">
        <v>50.088999999999999</v>
      </c>
      <c r="F101" s="100">
        <v>50.031999999999996</v>
      </c>
      <c r="G101" s="100">
        <v>49.98</v>
      </c>
      <c r="H101" s="100">
        <v>49.956000000000003</v>
      </c>
      <c r="I101" s="100">
        <v>49.942999999999998</v>
      </c>
      <c r="J101" s="100">
        <v>49.941000000000003</v>
      </c>
      <c r="K101" s="100">
        <v>49.896000000000001</v>
      </c>
      <c r="L101" s="100">
        <v>49.875</v>
      </c>
      <c r="M101" s="100">
        <v>49.875</v>
      </c>
      <c r="N101" s="100">
        <v>50.017000000000003</v>
      </c>
      <c r="O101" s="100">
        <v>50.011000000000003</v>
      </c>
      <c r="P101" s="100">
        <v>50.052999999999997</v>
      </c>
      <c r="Q101" s="100">
        <v>50.052999999999997</v>
      </c>
      <c r="R101" s="100">
        <v>50.000999999999998</v>
      </c>
      <c r="S101" s="100">
        <v>50.046999999999997</v>
      </c>
      <c r="T101" s="100">
        <v>50.033999999999999</v>
      </c>
      <c r="U101" s="100">
        <v>50</v>
      </c>
      <c r="V101" s="100">
        <v>49.892000000000003</v>
      </c>
      <c r="W101" s="100">
        <v>49.954000000000001</v>
      </c>
      <c r="X101" s="100">
        <v>49.884</v>
      </c>
      <c r="Y101" s="100">
        <v>50</v>
      </c>
      <c r="Z101" s="100">
        <v>49.963000000000001</v>
      </c>
      <c r="AA101" s="100">
        <v>49.994999999999997</v>
      </c>
      <c r="AB101" s="100">
        <v>50.09</v>
      </c>
      <c r="AC101" s="100">
        <v>49.92</v>
      </c>
      <c r="AD101" s="100"/>
      <c r="AE101" s="100">
        <v>50</v>
      </c>
      <c r="AF101" s="100">
        <v>50</v>
      </c>
      <c r="AG101" s="101"/>
      <c r="AH101" s="47">
        <f t="shared" si="24"/>
        <v>50.09</v>
      </c>
      <c r="AI101" s="48">
        <f t="shared" si="25"/>
        <v>49.875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24"/>
        <v>0</v>
      </c>
      <c r="AI102" s="48">
        <f t="shared" si="25"/>
        <v>0</v>
      </c>
    </row>
    <row r="103" spans="1:37" x14ac:dyDescent="0.25">
      <c r="A103" s="102" t="s">
        <v>111</v>
      </c>
      <c r="B103" s="64">
        <v>129.69999999999999</v>
      </c>
      <c r="C103" s="64">
        <v>128.80000000000001</v>
      </c>
      <c r="D103" s="64">
        <v>129.30000000000001</v>
      </c>
      <c r="E103" s="64">
        <v>129.9</v>
      </c>
      <c r="F103" s="64">
        <v>129.30000000000001</v>
      </c>
      <c r="G103" s="64">
        <v>130</v>
      </c>
      <c r="H103" s="64">
        <v>129</v>
      </c>
      <c r="I103" s="64">
        <v>127.9</v>
      </c>
      <c r="J103" s="64">
        <v>126.4</v>
      </c>
      <c r="K103" s="64">
        <v>126.7</v>
      </c>
      <c r="L103" s="64">
        <v>125.6</v>
      </c>
      <c r="M103" s="64">
        <v>125.6</v>
      </c>
      <c r="N103" s="64">
        <v>124</v>
      </c>
      <c r="O103" s="64">
        <v>126.1</v>
      </c>
      <c r="P103" s="64">
        <v>126.7</v>
      </c>
      <c r="Q103" s="64">
        <v>126.7</v>
      </c>
      <c r="R103" s="64">
        <v>127.7</v>
      </c>
      <c r="S103" s="64">
        <v>128.30000000000001</v>
      </c>
      <c r="T103" s="64">
        <v>128.30000000000001</v>
      </c>
      <c r="U103" s="64">
        <v>128</v>
      </c>
      <c r="V103" s="64">
        <v>126.3</v>
      </c>
      <c r="W103" s="64">
        <v>127.5</v>
      </c>
      <c r="X103" s="64">
        <v>126.8</v>
      </c>
      <c r="Y103" s="64">
        <v>126.8</v>
      </c>
      <c r="Z103" s="64">
        <v>126.8</v>
      </c>
      <c r="AA103" s="64">
        <v>127.4</v>
      </c>
      <c r="AB103" s="64">
        <v>129.4</v>
      </c>
      <c r="AC103" s="64">
        <v>128.9</v>
      </c>
      <c r="AD103" s="64"/>
      <c r="AE103" s="64">
        <v>129.1</v>
      </c>
      <c r="AF103" s="64">
        <v>128.9</v>
      </c>
      <c r="AG103" s="103"/>
      <c r="AH103" s="47">
        <f t="shared" si="24"/>
        <v>130</v>
      </c>
      <c r="AI103" s="48">
        <f t="shared" si="25"/>
        <v>124</v>
      </c>
    </row>
    <row r="104" spans="1:37" x14ac:dyDescent="0.25">
      <c r="A104" s="102" t="s">
        <v>112</v>
      </c>
      <c r="B104" s="64">
        <v>129.19999999999999</v>
      </c>
      <c r="C104" s="64">
        <v>128.5</v>
      </c>
      <c r="D104" s="64">
        <v>129.30000000000001</v>
      </c>
      <c r="E104" s="64">
        <v>129.30000000000001</v>
      </c>
      <c r="F104" s="64">
        <v>130.69999999999999</v>
      </c>
      <c r="G104" s="64">
        <v>129.5</v>
      </c>
      <c r="H104" s="64">
        <v>127</v>
      </c>
      <c r="I104" s="64">
        <v>126</v>
      </c>
      <c r="J104" s="64">
        <v>125.9</v>
      </c>
      <c r="K104" s="64">
        <v>129.5</v>
      </c>
      <c r="L104" s="64">
        <v>128.6</v>
      </c>
      <c r="M104" s="64">
        <v>128.6</v>
      </c>
      <c r="N104" s="64">
        <v>127.6</v>
      </c>
      <c r="O104" s="64">
        <v>126</v>
      </c>
      <c r="P104" s="64">
        <v>129.69999999999999</v>
      </c>
      <c r="Q104" s="64">
        <v>129.69999999999999</v>
      </c>
      <c r="R104" s="64">
        <v>127.6</v>
      </c>
      <c r="S104" s="64">
        <v>127.5</v>
      </c>
      <c r="T104" s="64">
        <v>129.30000000000001</v>
      </c>
      <c r="U104" s="64">
        <v>128</v>
      </c>
      <c r="V104" s="64">
        <v>126.9</v>
      </c>
      <c r="W104" s="64">
        <v>127.3</v>
      </c>
      <c r="X104" s="64">
        <v>128.80000000000001</v>
      </c>
      <c r="Y104" s="64">
        <v>128.80000000000001</v>
      </c>
      <c r="Z104" s="64">
        <v>128.80000000000001</v>
      </c>
      <c r="AA104" s="64">
        <v>129.69999999999999</v>
      </c>
      <c r="AB104" s="64">
        <v>129.5</v>
      </c>
      <c r="AC104" s="64">
        <v>126.3</v>
      </c>
      <c r="AD104" s="64"/>
      <c r="AE104" s="64">
        <v>130.5</v>
      </c>
      <c r="AF104" s="64">
        <v>128.5</v>
      </c>
      <c r="AG104" s="103"/>
      <c r="AH104" s="47">
        <f t="shared" si="24"/>
        <v>130.69999999999999</v>
      </c>
      <c r="AI104" s="48">
        <f t="shared" si="25"/>
        <v>125.9</v>
      </c>
    </row>
    <row r="105" spans="1:37" x14ac:dyDescent="0.25">
      <c r="A105" s="104" t="s">
        <v>113</v>
      </c>
      <c r="B105" s="64">
        <v>132.9</v>
      </c>
      <c r="C105" s="64">
        <v>132.69999999999999</v>
      </c>
      <c r="D105" s="64">
        <v>133.4</v>
      </c>
      <c r="E105" s="64">
        <v>134</v>
      </c>
      <c r="F105" s="64">
        <v>134.5</v>
      </c>
      <c r="G105" s="64">
        <v>133.69999999999999</v>
      </c>
      <c r="H105" s="64">
        <v>131.30000000000001</v>
      </c>
      <c r="I105" s="64">
        <v>130.19999999999999</v>
      </c>
      <c r="J105" s="64">
        <v>129.69999999999999</v>
      </c>
      <c r="K105" s="64">
        <v>133</v>
      </c>
      <c r="L105" s="64">
        <v>132.4</v>
      </c>
      <c r="M105" s="64">
        <v>132.4</v>
      </c>
      <c r="N105" s="64">
        <v>135</v>
      </c>
      <c r="O105" s="64">
        <v>129.5</v>
      </c>
      <c r="P105" s="64">
        <v>132.5</v>
      </c>
      <c r="Q105" s="64">
        <v>132.5</v>
      </c>
      <c r="R105" s="64">
        <v>131.30000000000001</v>
      </c>
      <c r="S105" s="64">
        <v>130.6</v>
      </c>
      <c r="T105" s="64">
        <v>131.9</v>
      </c>
      <c r="U105" s="64">
        <v>132</v>
      </c>
      <c r="V105" s="64">
        <v>131.4</v>
      </c>
      <c r="W105" s="64">
        <v>129.6</v>
      </c>
      <c r="X105" s="64">
        <v>129.1</v>
      </c>
      <c r="Y105" s="64">
        <v>129.1</v>
      </c>
      <c r="Z105" s="64">
        <v>129.1</v>
      </c>
      <c r="AA105" s="64">
        <v>132.4</v>
      </c>
      <c r="AB105" s="64">
        <v>133</v>
      </c>
      <c r="AC105" s="64">
        <v>130.1</v>
      </c>
      <c r="AD105" s="64"/>
      <c r="AE105" s="64">
        <v>134.9</v>
      </c>
      <c r="AF105" s="64">
        <v>133.5</v>
      </c>
      <c r="AG105" s="103"/>
      <c r="AH105" s="47">
        <f t="shared" si="24"/>
        <v>135</v>
      </c>
      <c r="AI105" s="48">
        <f t="shared" si="25"/>
        <v>129.1</v>
      </c>
    </row>
    <row r="106" spans="1:37" x14ac:dyDescent="0.25">
      <c r="A106" s="104" t="s">
        <v>114</v>
      </c>
      <c r="B106" s="105">
        <v>135.6</v>
      </c>
      <c r="C106" s="105">
        <v>131.1</v>
      </c>
      <c r="D106" s="105">
        <v>133.1</v>
      </c>
      <c r="E106" s="105">
        <v>133.5</v>
      </c>
      <c r="F106" s="105">
        <v>134.4</v>
      </c>
      <c r="G106" s="105">
        <v>135.4</v>
      </c>
      <c r="H106" s="105">
        <v>132.6</v>
      </c>
      <c r="I106" s="105">
        <v>130</v>
      </c>
      <c r="J106" s="105">
        <v>133.30000000000001</v>
      </c>
      <c r="K106" s="105">
        <v>133.4</v>
      </c>
      <c r="L106" s="105">
        <v>131.4</v>
      </c>
      <c r="M106" s="105">
        <v>131.4</v>
      </c>
      <c r="N106" s="105">
        <v>132</v>
      </c>
      <c r="O106" s="105">
        <v>132.30000000000001</v>
      </c>
      <c r="P106" s="105">
        <v>131</v>
      </c>
      <c r="Q106" s="105">
        <v>131</v>
      </c>
      <c r="R106" s="105">
        <v>133.1</v>
      </c>
      <c r="S106" s="105">
        <v>131.30000000000001</v>
      </c>
      <c r="T106" s="105">
        <v>135.19999999999999</v>
      </c>
      <c r="U106" s="105">
        <v>133</v>
      </c>
      <c r="V106" s="105">
        <v>132.69999999999999</v>
      </c>
      <c r="W106" s="105">
        <v>133.1</v>
      </c>
      <c r="X106" s="105">
        <v>131.19999999999999</v>
      </c>
      <c r="Y106" s="105">
        <v>131.19999999999999</v>
      </c>
      <c r="Z106" s="105">
        <v>131.19999999999999</v>
      </c>
      <c r="AA106" s="105">
        <v>134.4</v>
      </c>
      <c r="AB106" s="105">
        <v>134.69999999999999</v>
      </c>
      <c r="AC106" s="105">
        <v>134.19999999999999</v>
      </c>
      <c r="AD106" s="105"/>
      <c r="AE106" s="105">
        <v>135</v>
      </c>
      <c r="AF106" s="105">
        <v>132.69999999999999</v>
      </c>
      <c r="AG106" s="106"/>
      <c r="AH106" s="47">
        <f t="shared" si="24"/>
        <v>135.6</v>
      </c>
      <c r="AI106" s="48">
        <f t="shared" si="25"/>
        <v>130</v>
      </c>
    </row>
    <row r="107" spans="1:37" x14ac:dyDescent="0.25">
      <c r="A107" s="102" t="s">
        <v>115</v>
      </c>
      <c r="B107" s="64">
        <v>137.1</v>
      </c>
      <c r="C107" s="64">
        <v>128.1</v>
      </c>
      <c r="D107" s="64">
        <v>134.6</v>
      </c>
      <c r="E107" s="64">
        <v>130.30000000000001</v>
      </c>
      <c r="F107" s="64">
        <v>132.78</v>
      </c>
      <c r="G107" s="64">
        <v>134</v>
      </c>
      <c r="H107" s="64">
        <v>131.5</v>
      </c>
      <c r="I107" s="64">
        <v>125</v>
      </c>
      <c r="J107" s="64">
        <v>132.9</v>
      </c>
      <c r="K107" s="64">
        <v>129.6</v>
      </c>
      <c r="L107" s="64">
        <v>127</v>
      </c>
      <c r="M107" s="64">
        <v>127</v>
      </c>
      <c r="N107" s="64">
        <v>128</v>
      </c>
      <c r="O107" s="64">
        <v>131.30000000000001</v>
      </c>
      <c r="P107" s="64">
        <v>126.4</v>
      </c>
      <c r="Q107" s="64">
        <v>126.4</v>
      </c>
      <c r="R107" s="64">
        <v>130.69999999999999</v>
      </c>
      <c r="S107" s="64">
        <v>130.69999999999999</v>
      </c>
      <c r="T107" s="64">
        <v>133.30000000000001</v>
      </c>
      <c r="U107" s="64">
        <v>131.5</v>
      </c>
      <c r="V107" s="64">
        <v>133.69999999999999</v>
      </c>
      <c r="W107" s="64">
        <v>134.5</v>
      </c>
      <c r="X107" s="64">
        <v>126.7</v>
      </c>
      <c r="Y107" s="64">
        <v>126.7</v>
      </c>
      <c r="Z107" s="64">
        <v>126.7</v>
      </c>
      <c r="AA107" s="64">
        <v>134.69999999999999</v>
      </c>
      <c r="AB107" s="64">
        <v>133.4</v>
      </c>
      <c r="AC107" s="64">
        <v>136.4</v>
      </c>
      <c r="AD107" s="64"/>
      <c r="AE107" s="64">
        <v>135</v>
      </c>
      <c r="AF107" s="64">
        <v>134.5</v>
      </c>
      <c r="AG107" s="103"/>
      <c r="AH107" s="47">
        <f t="shared" si="24"/>
        <v>137.1</v>
      </c>
      <c r="AI107" s="48">
        <f t="shared" si="25"/>
        <v>125</v>
      </c>
    </row>
    <row r="108" spans="1:37" ht="15.75" thickBot="1" x14ac:dyDescent="0.3">
      <c r="A108" s="102" t="s">
        <v>116</v>
      </c>
      <c r="B108" s="91">
        <v>64.900000000000006</v>
      </c>
      <c r="C108" s="91">
        <v>64.5</v>
      </c>
      <c r="D108" s="91">
        <v>64.900000000000006</v>
      </c>
      <c r="E108" s="91">
        <v>65</v>
      </c>
      <c r="F108" s="91">
        <v>64.7</v>
      </c>
      <c r="G108" s="91">
        <v>65</v>
      </c>
      <c r="H108" s="91">
        <v>64.400000000000006</v>
      </c>
      <c r="I108" s="91">
        <v>63.7</v>
      </c>
      <c r="J108" s="91">
        <v>62.8</v>
      </c>
      <c r="K108" s="91">
        <v>63.4</v>
      </c>
      <c r="L108" s="91">
        <v>62.2</v>
      </c>
      <c r="M108" s="91">
        <v>62.2</v>
      </c>
      <c r="N108" s="91">
        <v>62.2</v>
      </c>
      <c r="O108" s="91">
        <v>62.8</v>
      </c>
      <c r="P108" s="91">
        <v>63</v>
      </c>
      <c r="Q108" s="91">
        <v>63</v>
      </c>
      <c r="R108" s="91">
        <v>63.3</v>
      </c>
      <c r="S108" s="91">
        <v>63.6</v>
      </c>
      <c r="T108" s="91">
        <v>64.099999999999994</v>
      </c>
      <c r="U108" s="91">
        <v>64.3</v>
      </c>
      <c r="V108" s="91">
        <v>63.4</v>
      </c>
      <c r="W108" s="91">
        <v>63.7</v>
      </c>
      <c r="X108" s="91">
        <v>63.3</v>
      </c>
      <c r="Y108" s="91">
        <v>63.3</v>
      </c>
      <c r="Z108" s="91">
        <v>63.3</v>
      </c>
      <c r="AA108" s="91">
        <v>64</v>
      </c>
      <c r="AB108" s="91">
        <v>65</v>
      </c>
      <c r="AC108" s="91">
        <v>64.7</v>
      </c>
      <c r="AD108" s="91"/>
      <c r="AE108" s="91">
        <v>64.900000000000006</v>
      </c>
      <c r="AF108" s="91">
        <v>64.599999999999994</v>
      </c>
      <c r="AG108" s="107"/>
      <c r="AH108" s="47">
        <f t="shared" si="24"/>
        <v>65</v>
      </c>
      <c r="AI108" s="48">
        <f t="shared" si="25"/>
        <v>62.2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24"/>
        <v>0</v>
      </c>
      <c r="AI109" s="48">
        <f t="shared" si="25"/>
        <v>0</v>
      </c>
    </row>
    <row r="110" spans="1:37" ht="15.75" thickBot="1" x14ac:dyDescent="0.3">
      <c r="A110" s="109" t="s">
        <v>118</v>
      </c>
      <c r="B110" s="110">
        <f t="shared" ref="B110:C110" si="44">SUM(B20,B26,B29:B30,B58,B60:B61,B63,B65,B111:B115,B138,B144,B150,B159,B161,B173,B180,B183:B184,B191,B193,B195,B199:B201,B203:B205,B210,B216:B217,B219:B221,B229,B234)</f>
        <v>44.399999999999991</v>
      </c>
      <c r="C110" s="110">
        <f t="shared" si="44"/>
        <v>48.54</v>
      </c>
      <c r="D110" s="110">
        <f t="shared" ref="D110:O110" si="45">SUM(D20,D26,D29:D30,D58,D60:D61,D63,D65,D111:D115,D138,D144,D150,D159,D161,D173,D180,D183:D184,D191,D193,D195,D199:D201,D203:D205,D210,D216:D217,D219:D221,D229,D234)</f>
        <v>31.339999999999989</v>
      </c>
      <c r="E110" s="110">
        <f t="shared" si="45"/>
        <v>34.839999999999975</v>
      </c>
      <c r="F110" s="110">
        <f t="shared" si="45"/>
        <v>42.839999999999961</v>
      </c>
      <c r="G110" s="110">
        <f t="shared" si="45"/>
        <v>61.239999999999966</v>
      </c>
      <c r="H110" s="110">
        <f t="shared" si="45"/>
        <v>83.640000000000015</v>
      </c>
      <c r="I110" s="110">
        <f t="shared" si="45"/>
        <v>94.340000000000032</v>
      </c>
      <c r="J110" s="110">
        <f t="shared" si="45"/>
        <v>147.03999999999996</v>
      </c>
      <c r="K110" s="110">
        <f t="shared" si="45"/>
        <v>174.14000000000001</v>
      </c>
      <c r="L110" s="110">
        <f t="shared" si="45"/>
        <v>206.94000000000005</v>
      </c>
      <c r="M110" s="110">
        <f t="shared" si="45"/>
        <v>206.94000000000005</v>
      </c>
      <c r="N110" s="110">
        <f t="shared" si="45"/>
        <v>198.24</v>
      </c>
      <c r="O110" s="110">
        <f t="shared" si="45"/>
        <v>168.64</v>
      </c>
      <c r="P110" s="110">
        <v>42</v>
      </c>
      <c r="Q110" s="110">
        <f t="shared" ref="Q110:AE110" si="46">SUM(Q20,Q26,Q29:Q30,Q58,Q60:Q61,Q63,Q65,Q111:Q115,Q138,Q144,Q150,Q159,Q161,Q173,Q180,Q183:Q184,Q191,Q193,Q195,Q199:Q201,Q203:Q205,Q210,Q216:Q217,Q219:Q221,Q229,Q234)</f>
        <v>172</v>
      </c>
      <c r="R110" s="110">
        <f t="shared" si="46"/>
        <v>181.59999999999997</v>
      </c>
      <c r="S110" s="110">
        <f t="shared" si="46"/>
        <v>167.7</v>
      </c>
      <c r="T110" s="110">
        <f t="shared" si="46"/>
        <v>177.19999999999993</v>
      </c>
      <c r="U110" s="110">
        <f t="shared" si="46"/>
        <v>177.49999999999997</v>
      </c>
      <c r="V110" s="110">
        <f t="shared" si="46"/>
        <v>194.50000000000003</v>
      </c>
      <c r="W110" s="110">
        <f t="shared" si="46"/>
        <v>208.7</v>
      </c>
      <c r="X110" s="110">
        <f t="shared" si="46"/>
        <v>243.60000000000002</v>
      </c>
      <c r="Y110" s="110">
        <f t="shared" si="46"/>
        <v>256.79999999999995</v>
      </c>
      <c r="Z110" s="110">
        <f t="shared" si="46"/>
        <v>242.59999999999997</v>
      </c>
      <c r="AA110" s="110">
        <f t="shared" si="46"/>
        <v>232.2</v>
      </c>
      <c r="AB110" s="110">
        <f t="shared" si="46"/>
        <v>191.2</v>
      </c>
      <c r="AC110" s="110">
        <f t="shared" si="46"/>
        <v>169.89999999999998</v>
      </c>
      <c r="AD110" s="110"/>
      <c r="AE110" s="110">
        <f t="shared" si="46"/>
        <v>125.99999999999996</v>
      </c>
      <c r="AF110" s="110">
        <f t="shared" ref="AF110" si="47">SUM(AF20,AF26,AF29:AF30,AF58,AF60:AF61,AF63,AF65,AF111:AF115,AF138,AF144,AF150,AF159,AF161,AF173,AF180,AF183:AF184,AF191,AF193,AF195,AF199:AF201,AF203:AF205,AF210,AF216:AF217,AF219:AF221,AF229,AF234)</f>
        <v>84.80000000000004</v>
      </c>
      <c r="AG110" s="111"/>
      <c r="AH110" s="47">
        <f t="shared" si="24"/>
        <v>256.79999999999995</v>
      </c>
      <c r="AI110" s="48">
        <f t="shared" si="25"/>
        <v>31.339999999999989</v>
      </c>
    </row>
    <row r="111" spans="1:37" x14ac:dyDescent="0.25">
      <c r="A111" s="99" t="s">
        <v>119</v>
      </c>
      <c r="B111" s="112">
        <v>43.1</v>
      </c>
      <c r="C111" s="112">
        <v>53.5</v>
      </c>
      <c r="D111" s="112">
        <v>43.2</v>
      </c>
      <c r="E111" s="112">
        <v>44.1</v>
      </c>
      <c r="F111" s="112">
        <v>47.2</v>
      </c>
      <c r="G111" s="112">
        <v>46.7</v>
      </c>
      <c r="H111" s="112">
        <v>43.4</v>
      </c>
      <c r="I111" s="112">
        <v>41.9</v>
      </c>
      <c r="J111" s="112">
        <v>44.5</v>
      </c>
      <c r="K111" s="112">
        <v>54.5</v>
      </c>
      <c r="L111" s="112">
        <v>66.3</v>
      </c>
      <c r="M111" s="112">
        <v>66.3</v>
      </c>
      <c r="N111" s="112">
        <v>65</v>
      </c>
      <c r="O111" s="112">
        <v>50</v>
      </c>
      <c r="P111" s="112">
        <v>41.7</v>
      </c>
      <c r="Q111" s="112">
        <v>41.7</v>
      </c>
      <c r="R111" s="112">
        <v>47.4</v>
      </c>
      <c r="S111" s="112">
        <v>41.3</v>
      </c>
      <c r="T111" s="112">
        <v>51.8</v>
      </c>
      <c r="U111" s="112">
        <v>50.5</v>
      </c>
      <c r="V111" s="112">
        <v>54.9</v>
      </c>
      <c r="W111" s="112">
        <v>56</v>
      </c>
      <c r="X111" s="112">
        <v>58.7</v>
      </c>
      <c r="Y111" s="112">
        <v>61.5</v>
      </c>
      <c r="Z111" s="112">
        <v>64.400000000000006</v>
      </c>
      <c r="AA111" s="112">
        <v>63.2</v>
      </c>
      <c r="AB111" s="112">
        <v>55.5</v>
      </c>
      <c r="AC111" s="112">
        <v>51.5</v>
      </c>
      <c r="AD111" s="112"/>
      <c r="AE111" s="112">
        <v>57.8</v>
      </c>
      <c r="AF111" s="112">
        <v>55.9</v>
      </c>
      <c r="AG111" s="113">
        <v>75</v>
      </c>
      <c r="AH111" s="47">
        <f t="shared" si="24"/>
        <v>66.3</v>
      </c>
      <c r="AI111" s="48">
        <f t="shared" si="25"/>
        <v>41.3</v>
      </c>
    </row>
    <row r="112" spans="1:37" x14ac:dyDescent="0.25">
      <c r="A112" s="102" t="s">
        <v>120</v>
      </c>
      <c r="B112" s="114">
        <v>60.9</v>
      </c>
      <c r="C112" s="114">
        <v>62.1</v>
      </c>
      <c r="D112" s="114">
        <v>62</v>
      </c>
      <c r="E112" s="114">
        <v>62.6</v>
      </c>
      <c r="F112" s="114">
        <v>66.7</v>
      </c>
      <c r="G112" s="114">
        <v>66.2</v>
      </c>
      <c r="H112" s="114">
        <v>61</v>
      </c>
      <c r="I112" s="114">
        <v>57.6</v>
      </c>
      <c r="J112" s="114">
        <v>61.1</v>
      </c>
      <c r="K112" s="114">
        <v>75</v>
      </c>
      <c r="L112" s="114">
        <v>91.1</v>
      </c>
      <c r="M112" s="114">
        <v>91.1</v>
      </c>
      <c r="N112" s="114">
        <v>68</v>
      </c>
      <c r="O112" s="114">
        <v>67</v>
      </c>
      <c r="P112" s="114">
        <v>53.6</v>
      </c>
      <c r="Q112" s="114">
        <v>53.6</v>
      </c>
      <c r="R112" s="114">
        <v>63.8</v>
      </c>
      <c r="S112" s="114">
        <v>56.1</v>
      </c>
      <c r="T112" s="114">
        <v>74.900000000000006</v>
      </c>
      <c r="U112" s="114">
        <v>73.3</v>
      </c>
      <c r="V112" s="114">
        <v>75.2</v>
      </c>
      <c r="W112" s="114">
        <v>76.2</v>
      </c>
      <c r="X112" s="114">
        <v>81.900000000000006</v>
      </c>
      <c r="Y112" s="114">
        <v>83.4</v>
      </c>
      <c r="Z112" s="114">
        <v>88.3</v>
      </c>
      <c r="AA112" s="114">
        <v>86.3</v>
      </c>
      <c r="AB112" s="114">
        <v>77.3</v>
      </c>
      <c r="AC112" s="114">
        <v>69.3</v>
      </c>
      <c r="AD112" s="114"/>
      <c r="AE112" s="114">
        <v>79.900000000000006</v>
      </c>
      <c r="AF112" s="114">
        <v>82</v>
      </c>
      <c r="AG112" s="113">
        <v>240</v>
      </c>
      <c r="AH112" s="47">
        <f t="shared" si="24"/>
        <v>91.1</v>
      </c>
      <c r="AI112" s="48">
        <f t="shared" si="25"/>
        <v>53.6</v>
      </c>
    </row>
    <row r="113" spans="1:37" x14ac:dyDescent="0.25">
      <c r="A113" s="102" t="s">
        <v>121</v>
      </c>
      <c r="B113" s="114">
        <f>-91-94.6</f>
        <v>-185.6</v>
      </c>
      <c r="C113" s="114">
        <f>-93.5-98.7</f>
        <v>-192.2</v>
      </c>
      <c r="D113" s="114">
        <f>-91.4-95.7</f>
        <v>-187.10000000000002</v>
      </c>
      <c r="E113" s="114">
        <f>-90-95</f>
        <v>-185</v>
      </c>
      <c r="F113" s="114">
        <f>-90-94</f>
        <v>-184</v>
      </c>
      <c r="G113" s="114">
        <f>-82-86</f>
        <v>-168</v>
      </c>
      <c r="H113" s="114">
        <f>-77-80</f>
        <v>-157</v>
      </c>
      <c r="I113" s="114">
        <f>-72-75</f>
        <v>-147</v>
      </c>
      <c r="J113" s="114">
        <f>-57-61</f>
        <v>-118</v>
      </c>
      <c r="K113" s="114">
        <f>-59-63</f>
        <v>-122</v>
      </c>
      <c r="L113" s="114">
        <f>-60-64.6</f>
        <v>-124.6</v>
      </c>
      <c r="M113" s="114">
        <f>-60-64.6</f>
        <v>-124.6</v>
      </c>
      <c r="N113" s="114">
        <v>-110</v>
      </c>
      <c r="O113" s="114">
        <v>-120</v>
      </c>
      <c r="P113" s="114">
        <v>-100</v>
      </c>
      <c r="Q113" s="114">
        <v>-100</v>
      </c>
      <c r="R113" s="114">
        <v>-110</v>
      </c>
      <c r="S113" s="114">
        <v>-123</v>
      </c>
      <c r="T113" s="114">
        <v>-150</v>
      </c>
      <c r="U113" s="114">
        <v>-137</v>
      </c>
      <c r="V113" s="114">
        <v>-116</v>
      </c>
      <c r="W113" s="114">
        <v>-106.1</v>
      </c>
      <c r="X113" s="114">
        <v>-81</v>
      </c>
      <c r="Y113" s="114">
        <v>-87</v>
      </c>
      <c r="Z113" s="114">
        <v>-102</v>
      </c>
      <c r="AA113" s="114">
        <v>-109</v>
      </c>
      <c r="AB113" s="114">
        <f>-56.4-60.3</f>
        <v>-116.69999999999999</v>
      </c>
      <c r="AC113" s="114">
        <f>-59.8-63.1</f>
        <v>-122.9</v>
      </c>
      <c r="AD113" s="114"/>
      <c r="AE113" s="114">
        <f>-73.9-78.6</f>
        <v>-152.5</v>
      </c>
      <c r="AF113" s="114">
        <f>-83.8-87.6</f>
        <v>-171.39999999999998</v>
      </c>
      <c r="AG113" s="113">
        <v>240</v>
      </c>
      <c r="AH113" s="47">
        <f t="shared" si="24"/>
        <v>-81</v>
      </c>
      <c r="AI113" s="48">
        <f t="shared" si="25"/>
        <v>-192.2</v>
      </c>
    </row>
    <row r="114" spans="1:37" x14ac:dyDescent="0.25">
      <c r="A114" s="102" t="s">
        <v>122</v>
      </c>
      <c r="B114" s="114">
        <v>-22.2</v>
      </c>
      <c r="C114" s="114">
        <v>-22.9</v>
      </c>
      <c r="D114" s="114">
        <v>-25.8</v>
      </c>
      <c r="E114" s="114">
        <v>-23</v>
      </c>
      <c r="F114" s="114">
        <v>-23.2</v>
      </c>
      <c r="G114" s="114">
        <v>-19.8</v>
      </c>
      <c r="H114" s="114">
        <v>-21.6</v>
      </c>
      <c r="I114" s="114">
        <v>-16</v>
      </c>
      <c r="J114" s="114">
        <v>-9</v>
      </c>
      <c r="K114" s="114">
        <v>-10.6</v>
      </c>
      <c r="L114" s="114">
        <v>-8.1</v>
      </c>
      <c r="M114" s="114">
        <v>-8.1</v>
      </c>
      <c r="N114" s="114">
        <v>-7</v>
      </c>
      <c r="O114" s="114">
        <v>7</v>
      </c>
      <c r="P114" s="114">
        <v>13</v>
      </c>
      <c r="Q114" s="114">
        <v>13</v>
      </c>
      <c r="R114" s="114">
        <v>11.7</v>
      </c>
      <c r="S114" s="114">
        <v>15.5</v>
      </c>
      <c r="T114" s="114">
        <v>11</v>
      </c>
      <c r="U114" s="114">
        <v>4.9000000000000004</v>
      </c>
      <c r="V114" s="114">
        <v>-1.6</v>
      </c>
      <c r="W114" s="114">
        <v>1.1000000000000001</v>
      </c>
      <c r="X114" s="114">
        <v>2.5</v>
      </c>
      <c r="Y114" s="114">
        <v>17.5</v>
      </c>
      <c r="Z114" s="114">
        <v>10.5</v>
      </c>
      <c r="AA114" s="114">
        <v>0</v>
      </c>
      <c r="AB114" s="114">
        <v>-1.7</v>
      </c>
      <c r="AC114" s="114">
        <v>-4.9000000000000004</v>
      </c>
      <c r="AD114" s="114"/>
      <c r="AE114" s="114">
        <v>-15.8</v>
      </c>
      <c r="AF114" s="114">
        <v>-22.9</v>
      </c>
      <c r="AG114" s="113">
        <v>60</v>
      </c>
      <c r="AH114" s="47">
        <f t="shared" si="24"/>
        <v>17.5</v>
      </c>
      <c r="AI114" s="48">
        <f t="shared" si="25"/>
        <v>-25.8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15</v>
      </c>
      <c r="AB115" s="116">
        <v>0</v>
      </c>
      <c r="AC115" s="116">
        <v>0</v>
      </c>
      <c r="AD115" s="116"/>
      <c r="AE115" s="116">
        <v>0</v>
      </c>
      <c r="AF115" s="116">
        <v>0</v>
      </c>
      <c r="AG115" s="117">
        <v>120</v>
      </c>
      <c r="AH115" s="47">
        <f t="shared" si="24"/>
        <v>15</v>
      </c>
      <c r="AI115" s="48">
        <f t="shared" si="25"/>
        <v>0</v>
      </c>
    </row>
    <row r="116" spans="1:37" x14ac:dyDescent="0.25">
      <c r="A116" s="115" t="s">
        <v>124</v>
      </c>
      <c r="B116" s="116">
        <v>15.9</v>
      </c>
      <c r="C116" s="116">
        <v>6.2</v>
      </c>
      <c r="D116" s="116">
        <v>25.4</v>
      </c>
      <c r="E116" s="116">
        <v>-19</v>
      </c>
      <c r="F116" s="116">
        <v>0.3</v>
      </c>
      <c r="G116" s="116">
        <v>18.600000000000001</v>
      </c>
      <c r="H116" s="116">
        <v>19.5</v>
      </c>
      <c r="I116" s="116">
        <v>20</v>
      </c>
      <c r="J116" s="116">
        <v>27.6</v>
      </c>
      <c r="K116" s="116">
        <v>29</v>
      </c>
      <c r="L116" s="116">
        <v>-8.5</v>
      </c>
      <c r="M116" s="116">
        <v>-8.5</v>
      </c>
      <c r="N116" s="116">
        <v>-20</v>
      </c>
      <c r="O116" s="116">
        <v>34.700000000000003</v>
      </c>
      <c r="P116" s="116">
        <v>37</v>
      </c>
      <c r="Q116" s="116">
        <v>37</v>
      </c>
      <c r="R116" s="116">
        <v>2.8</v>
      </c>
      <c r="S116" s="116">
        <v>20.8</v>
      </c>
      <c r="T116" s="116">
        <v>-62.6</v>
      </c>
      <c r="U116" s="116">
        <v>-60.9</v>
      </c>
      <c r="V116" s="116">
        <v>-24.8</v>
      </c>
      <c r="W116" s="116">
        <v>-11.6</v>
      </c>
      <c r="X116" s="116">
        <v>33.799999999999997</v>
      </c>
      <c r="Y116" s="116">
        <v>13</v>
      </c>
      <c r="Z116" s="116">
        <v>2.4</v>
      </c>
      <c r="AA116" s="116">
        <v>-57</v>
      </c>
      <c r="AB116" s="116">
        <v>1.3</v>
      </c>
      <c r="AC116" s="116">
        <v>9.1999999999999993</v>
      </c>
      <c r="AD116" s="116"/>
      <c r="AE116" s="116">
        <v>-15</v>
      </c>
      <c r="AF116" s="116">
        <v>-2</v>
      </c>
      <c r="AG116" s="117"/>
      <c r="AH116" s="47">
        <f t="shared" si="24"/>
        <v>37</v>
      </c>
      <c r="AI116" s="48">
        <f t="shared" si="25"/>
        <v>-62.6</v>
      </c>
    </row>
    <row r="117" spans="1:37" x14ac:dyDescent="0.25">
      <c r="A117" s="115" t="s">
        <v>125</v>
      </c>
      <c r="B117" s="116">
        <v>-48.6</v>
      </c>
      <c r="C117" s="116">
        <v>-68.7</v>
      </c>
      <c r="D117" s="116">
        <v>-53.8</v>
      </c>
      <c r="E117" s="116">
        <v>-52</v>
      </c>
      <c r="F117" s="116">
        <v>-53.9</v>
      </c>
      <c r="G117" s="116">
        <v>-73</v>
      </c>
      <c r="H117" s="116">
        <v>-53.2</v>
      </c>
      <c r="I117" s="116">
        <v>-57.5</v>
      </c>
      <c r="J117" s="116">
        <v>-70.900000000000006</v>
      </c>
      <c r="K117" s="116">
        <v>-79</v>
      </c>
      <c r="L117" s="116">
        <v>-80</v>
      </c>
      <c r="M117" s="116">
        <v>-88</v>
      </c>
      <c r="N117" s="116">
        <v>-50</v>
      </c>
      <c r="O117" s="116">
        <v>-35</v>
      </c>
      <c r="P117" s="116">
        <v>-40.799999999999997</v>
      </c>
      <c r="Q117" s="116">
        <v>-40.799999999999997</v>
      </c>
      <c r="R117" s="116">
        <v>-38.9</v>
      </c>
      <c r="S117" s="116">
        <v>-9.6</v>
      </c>
      <c r="T117" s="116">
        <v>-11.2</v>
      </c>
      <c r="U117" s="116">
        <v>-11.6</v>
      </c>
      <c r="V117" s="116">
        <v>-50.1</v>
      </c>
      <c r="W117" s="116">
        <v>-45.5</v>
      </c>
      <c r="X117" s="116">
        <v>-32.9</v>
      </c>
      <c r="Y117" s="116">
        <v>-49.2</v>
      </c>
      <c r="Z117" s="116">
        <v>-54.7</v>
      </c>
      <c r="AA117" s="116">
        <v>50.6</v>
      </c>
      <c r="AB117" s="116">
        <v>-44.3</v>
      </c>
      <c r="AC117" s="116">
        <v>-38.4</v>
      </c>
      <c r="AD117" s="116"/>
      <c r="AE117" s="116">
        <v>-85.4</v>
      </c>
      <c r="AF117" s="116">
        <v>-69.7</v>
      </c>
      <c r="AG117" s="118"/>
      <c r="AH117" s="47">
        <f t="shared" si="24"/>
        <v>50.6</v>
      </c>
      <c r="AI117" s="48">
        <f t="shared" si="25"/>
        <v>-88</v>
      </c>
    </row>
    <row r="118" spans="1:37" x14ac:dyDescent="0.25">
      <c r="A118" s="119" t="s">
        <v>126</v>
      </c>
      <c r="B118" s="105">
        <v>73.5</v>
      </c>
      <c r="C118" s="105">
        <v>76.3</v>
      </c>
      <c r="D118" s="105">
        <v>78.099999999999994</v>
      </c>
      <c r="E118" s="105">
        <v>79</v>
      </c>
      <c r="F118" s="105">
        <v>79.7</v>
      </c>
      <c r="G118" s="105">
        <v>78.5</v>
      </c>
      <c r="H118" s="105">
        <v>77.5</v>
      </c>
      <c r="I118" s="105">
        <v>76</v>
      </c>
      <c r="J118" s="105">
        <v>77.900000000000006</v>
      </c>
      <c r="K118" s="105">
        <v>70</v>
      </c>
      <c r="L118" s="105">
        <v>61.6</v>
      </c>
      <c r="M118" s="105">
        <v>61.6</v>
      </c>
      <c r="N118" s="105">
        <v>65</v>
      </c>
      <c r="O118" s="105">
        <v>60</v>
      </c>
      <c r="P118" s="105">
        <v>60</v>
      </c>
      <c r="Q118" s="105">
        <v>60</v>
      </c>
      <c r="R118" s="105">
        <v>62.1</v>
      </c>
      <c r="S118" s="105">
        <v>57.4</v>
      </c>
      <c r="T118" s="105">
        <v>60.9</v>
      </c>
      <c r="U118" s="105">
        <v>71.8</v>
      </c>
      <c r="V118" s="105">
        <v>68.5</v>
      </c>
      <c r="W118" s="105">
        <v>51.4</v>
      </c>
      <c r="X118" s="105">
        <v>40.200000000000003</v>
      </c>
      <c r="Y118" s="105">
        <v>44.3</v>
      </c>
      <c r="Z118" s="105">
        <v>46.8</v>
      </c>
      <c r="AA118" s="105">
        <v>82</v>
      </c>
      <c r="AB118" s="105">
        <v>53.3</v>
      </c>
      <c r="AC118" s="105">
        <v>53.3</v>
      </c>
      <c r="AD118" s="105"/>
      <c r="AE118" s="105">
        <v>65.599999999999994</v>
      </c>
      <c r="AF118" s="105">
        <v>71.5</v>
      </c>
      <c r="AG118" s="118"/>
      <c r="AH118" s="47">
        <f t="shared" si="24"/>
        <v>82</v>
      </c>
      <c r="AI118" s="48">
        <f t="shared" si="25"/>
        <v>40.200000000000003</v>
      </c>
    </row>
    <row r="119" spans="1:37" x14ac:dyDescent="0.25">
      <c r="A119" s="120" t="s">
        <v>127</v>
      </c>
      <c r="B119" s="105">
        <v>89.9</v>
      </c>
      <c r="C119" s="105">
        <v>95.8</v>
      </c>
      <c r="D119" s="105">
        <v>93.4</v>
      </c>
      <c r="E119" s="105">
        <v>86</v>
      </c>
      <c r="F119" s="105">
        <v>95.6</v>
      </c>
      <c r="G119" s="105">
        <v>87.1</v>
      </c>
      <c r="H119" s="105">
        <v>80.3</v>
      </c>
      <c r="I119" s="105">
        <v>80</v>
      </c>
      <c r="J119" s="105">
        <v>71.3</v>
      </c>
      <c r="K119" s="105">
        <v>74</v>
      </c>
      <c r="L119" s="105">
        <v>88.6</v>
      </c>
      <c r="M119" s="105">
        <v>88.6</v>
      </c>
      <c r="N119" s="105">
        <v>85</v>
      </c>
      <c r="O119" s="105">
        <v>78</v>
      </c>
      <c r="P119" s="105">
        <v>70</v>
      </c>
      <c r="Q119" s="105">
        <v>70</v>
      </c>
      <c r="R119" s="105">
        <v>85.2</v>
      </c>
      <c r="S119" s="105">
        <v>77.8</v>
      </c>
      <c r="T119" s="105">
        <v>102.9</v>
      </c>
      <c r="U119" s="105">
        <v>97.1</v>
      </c>
      <c r="V119" s="105">
        <v>81.900000000000006</v>
      </c>
      <c r="W119" s="105">
        <v>76.400000000000006</v>
      </c>
      <c r="X119" s="105">
        <v>54.7</v>
      </c>
      <c r="Y119" s="105">
        <v>74.3</v>
      </c>
      <c r="Z119" s="105">
        <v>83.9</v>
      </c>
      <c r="AA119" s="105">
        <v>2.8</v>
      </c>
      <c r="AB119" s="105">
        <v>82.5</v>
      </c>
      <c r="AC119" s="105">
        <v>85.3</v>
      </c>
      <c r="AD119" s="105"/>
      <c r="AE119" s="105">
        <v>96.8</v>
      </c>
      <c r="AF119" s="105">
        <v>94.5</v>
      </c>
      <c r="AG119" s="118"/>
      <c r="AH119" s="47">
        <f t="shared" si="24"/>
        <v>102.9</v>
      </c>
      <c r="AI119" s="48">
        <f t="shared" si="25"/>
        <v>2.8</v>
      </c>
    </row>
    <row r="120" spans="1:37" ht="15.75" thickBot="1" x14ac:dyDescent="0.3">
      <c r="A120" s="119" t="s">
        <v>128</v>
      </c>
      <c r="B120" s="105">
        <v>-13.8</v>
      </c>
      <c r="C120" s="105">
        <v>-14.8</v>
      </c>
      <c r="D120" s="105">
        <v>-23.8</v>
      </c>
      <c r="E120" s="105">
        <v>-21.5</v>
      </c>
      <c r="F120" s="105">
        <v>-26.3</v>
      </c>
      <c r="G120" s="105">
        <v>-26</v>
      </c>
      <c r="H120" s="105">
        <v>-23.4</v>
      </c>
      <c r="I120" s="105">
        <v>-25</v>
      </c>
      <c r="J120" s="105">
        <v>-26</v>
      </c>
      <c r="K120" s="105">
        <v>-19</v>
      </c>
      <c r="L120" s="105">
        <v>-14.9</v>
      </c>
      <c r="M120" s="105">
        <v>-14.9</v>
      </c>
      <c r="N120" s="105">
        <v>-15</v>
      </c>
      <c r="O120" s="105">
        <v>-13</v>
      </c>
      <c r="P120" s="105">
        <v>-14</v>
      </c>
      <c r="Q120" s="105">
        <v>-14</v>
      </c>
      <c r="R120" s="105">
        <v>-15</v>
      </c>
      <c r="S120" s="105">
        <v>-6.8</v>
      </c>
      <c r="T120" s="105">
        <v>-10</v>
      </c>
      <c r="U120" s="105">
        <v>-21.7</v>
      </c>
      <c r="V120" s="105">
        <v>-19.5</v>
      </c>
      <c r="W120" s="105">
        <v>-9.4</v>
      </c>
      <c r="X120" s="105">
        <v>9.5</v>
      </c>
      <c r="Y120" s="105">
        <v>13</v>
      </c>
      <c r="Z120" s="105">
        <v>4.5999999999999996</v>
      </c>
      <c r="AA120" s="105"/>
      <c r="AB120" s="105">
        <v>8</v>
      </c>
      <c r="AC120" s="105">
        <v>4.2</v>
      </c>
      <c r="AD120" s="105"/>
      <c r="AE120" s="105">
        <v>-10.7</v>
      </c>
      <c r="AF120" s="105">
        <v>-6.8</v>
      </c>
      <c r="AG120" s="118"/>
      <c r="AH120" s="47">
        <f t="shared" si="24"/>
        <v>13</v>
      </c>
      <c r="AI120" s="48">
        <f t="shared" si="25"/>
        <v>-26.3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48">SUM(B122:B226)</f>
        <v>0</v>
      </c>
      <c r="C227" s="136">
        <f t="shared" si="48"/>
        <v>0</v>
      </c>
      <c r="D227" s="136">
        <f t="shared" si="48"/>
        <v>0</v>
      </c>
      <c r="E227" s="136">
        <f t="shared" si="48"/>
        <v>0</v>
      </c>
      <c r="F227" s="136">
        <f t="shared" si="48"/>
        <v>0</v>
      </c>
      <c r="G227" s="136">
        <f t="shared" si="48"/>
        <v>0</v>
      </c>
      <c r="H227" s="136">
        <f t="shared" si="48"/>
        <v>0</v>
      </c>
      <c r="I227" s="136">
        <f t="shared" si="48"/>
        <v>0</v>
      </c>
      <c r="J227" s="136">
        <f t="shared" si="48"/>
        <v>0</v>
      </c>
      <c r="K227" s="136">
        <f t="shared" si="48"/>
        <v>0</v>
      </c>
      <c r="L227" s="136">
        <f t="shared" si="48"/>
        <v>0</v>
      </c>
      <c r="M227" s="136">
        <f t="shared" si="48"/>
        <v>0</v>
      </c>
      <c r="N227" s="136">
        <f t="shared" si="48"/>
        <v>0</v>
      </c>
      <c r="O227" s="136">
        <f t="shared" si="48"/>
        <v>0</v>
      </c>
      <c r="P227" s="136">
        <f t="shared" si="48"/>
        <v>0</v>
      </c>
      <c r="Q227" s="136">
        <f t="shared" si="48"/>
        <v>0</v>
      </c>
      <c r="R227" s="136">
        <f t="shared" si="48"/>
        <v>0</v>
      </c>
      <c r="S227" s="136">
        <f t="shared" si="48"/>
        <v>0</v>
      </c>
      <c r="T227" s="136">
        <f t="shared" si="48"/>
        <v>0</v>
      </c>
      <c r="U227" s="136">
        <f t="shared" si="48"/>
        <v>0</v>
      </c>
      <c r="V227" s="136">
        <f t="shared" si="48"/>
        <v>0</v>
      </c>
      <c r="W227" s="136">
        <f t="shared" si="48"/>
        <v>0</v>
      </c>
      <c r="X227" s="136">
        <f t="shared" si="48"/>
        <v>0</v>
      </c>
      <c r="Y227" s="136">
        <f t="shared" si="48"/>
        <v>0</v>
      </c>
      <c r="Z227" s="136">
        <f t="shared" si="48"/>
        <v>0</v>
      </c>
      <c r="AA227" s="136">
        <f t="shared" si="48"/>
        <v>0</v>
      </c>
      <c r="AB227" s="136">
        <f t="shared" si="48"/>
        <v>0</v>
      </c>
      <c r="AC227" s="136">
        <f t="shared" si="48"/>
        <v>0</v>
      </c>
      <c r="AD227" s="136">
        <f t="shared" si="48"/>
        <v>0</v>
      </c>
      <c r="AE227" s="136">
        <f t="shared" si="48"/>
        <v>0</v>
      </c>
      <c r="AF227" s="137">
        <f t="shared" si="48"/>
        <v>0</v>
      </c>
      <c r="AG227" s="138">
        <f t="shared" si="4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49">AF229</f>
        <v>0</v>
      </c>
      <c r="C229" s="140">
        <v>0.3</v>
      </c>
      <c r="D229" s="140">
        <f t="shared" ref="D229:P234" si="50">C229</f>
        <v>0.3</v>
      </c>
      <c r="E229" s="140">
        <f t="shared" si="50"/>
        <v>0.3</v>
      </c>
      <c r="F229" s="140">
        <f t="shared" si="50"/>
        <v>0.3</v>
      </c>
      <c r="G229" s="140">
        <f t="shared" si="50"/>
        <v>0.3</v>
      </c>
      <c r="H229" s="140">
        <f t="shared" si="50"/>
        <v>0.3</v>
      </c>
      <c r="I229" s="140">
        <f t="shared" si="50"/>
        <v>0.3</v>
      </c>
      <c r="J229" s="140">
        <f t="shared" si="50"/>
        <v>0.3</v>
      </c>
      <c r="K229" s="140">
        <f t="shared" si="50"/>
        <v>0.3</v>
      </c>
      <c r="L229" s="140">
        <f t="shared" si="50"/>
        <v>0.3</v>
      </c>
      <c r="M229" s="140">
        <f t="shared" si="50"/>
        <v>0.3</v>
      </c>
      <c r="N229" s="140">
        <f t="shared" si="50"/>
        <v>0.3</v>
      </c>
      <c r="O229" s="140">
        <f t="shared" si="50"/>
        <v>0.3</v>
      </c>
      <c r="P229" s="140">
        <f t="shared" si="5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49"/>
        <v>0</v>
      </c>
      <c r="C230" s="128">
        <v>0.4</v>
      </c>
      <c r="D230" s="128">
        <f t="shared" si="50"/>
        <v>0.4</v>
      </c>
      <c r="E230" s="128">
        <f t="shared" si="50"/>
        <v>0.4</v>
      </c>
      <c r="F230" s="128">
        <f t="shared" si="50"/>
        <v>0.4</v>
      </c>
      <c r="G230" s="128">
        <f t="shared" si="50"/>
        <v>0.4</v>
      </c>
      <c r="H230" s="128">
        <f t="shared" si="50"/>
        <v>0.4</v>
      </c>
      <c r="I230" s="128">
        <f t="shared" si="50"/>
        <v>0.4</v>
      </c>
      <c r="J230" s="128">
        <f t="shared" si="50"/>
        <v>0.4</v>
      </c>
      <c r="K230" s="128">
        <f t="shared" si="50"/>
        <v>0.4</v>
      </c>
      <c r="L230" s="128">
        <f t="shared" si="50"/>
        <v>0.4</v>
      </c>
      <c r="M230" s="128">
        <f t="shared" si="50"/>
        <v>0.4</v>
      </c>
      <c r="N230" s="128">
        <f t="shared" si="50"/>
        <v>0.4</v>
      </c>
      <c r="O230" s="128">
        <f t="shared" si="50"/>
        <v>0.4</v>
      </c>
      <c r="P230" s="128">
        <f t="shared" si="5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49"/>
        <v>0</v>
      </c>
      <c r="C231" s="128">
        <v>1.5</v>
      </c>
      <c r="D231" s="128">
        <f t="shared" si="50"/>
        <v>1.5</v>
      </c>
      <c r="E231" s="128">
        <f t="shared" si="50"/>
        <v>1.5</v>
      </c>
      <c r="F231" s="128">
        <f t="shared" si="50"/>
        <v>1.5</v>
      </c>
      <c r="G231" s="128">
        <f t="shared" si="50"/>
        <v>1.5</v>
      </c>
      <c r="H231" s="128">
        <f t="shared" si="5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50"/>
        <v>123.21900000000009</v>
      </c>
      <c r="K231" s="128">
        <f t="shared" ca="1" si="50"/>
        <v>123.21900000000009</v>
      </c>
      <c r="L231" s="128">
        <f t="shared" ca="1" si="50"/>
        <v>123.21900000000009</v>
      </c>
      <c r="M231" s="128">
        <f t="shared" ca="1" si="50"/>
        <v>119.19900000000008</v>
      </c>
      <c r="N231" s="128">
        <f t="shared" ca="1" si="50"/>
        <v>119.19900000000008</v>
      </c>
      <c r="O231" s="128">
        <f t="shared" ca="1" si="50"/>
        <v>119.19900000000008</v>
      </c>
      <c r="P231" s="128">
        <f t="shared" ca="1" si="5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49"/>
        <v>0</v>
      </c>
      <c r="C232" s="128">
        <v>0.3</v>
      </c>
      <c r="D232" s="128">
        <f t="shared" si="50"/>
        <v>0.3</v>
      </c>
      <c r="E232" s="128">
        <f t="shared" si="50"/>
        <v>0.3</v>
      </c>
      <c r="F232" s="128">
        <f t="shared" si="50"/>
        <v>0.3</v>
      </c>
      <c r="G232" s="128">
        <f t="shared" si="50"/>
        <v>0.3</v>
      </c>
      <c r="H232" s="128">
        <f t="shared" si="50"/>
        <v>0.3</v>
      </c>
      <c r="I232" s="128">
        <f t="shared" si="50"/>
        <v>0.3</v>
      </c>
      <c r="J232" s="128">
        <f t="shared" si="50"/>
        <v>0.3</v>
      </c>
      <c r="K232" s="128">
        <f t="shared" si="50"/>
        <v>0.3</v>
      </c>
      <c r="L232" s="128">
        <f t="shared" si="50"/>
        <v>0.3</v>
      </c>
      <c r="M232" s="128">
        <f t="shared" si="50"/>
        <v>0.3</v>
      </c>
      <c r="N232" s="128">
        <f t="shared" si="50"/>
        <v>0.3</v>
      </c>
      <c r="O232" s="128">
        <f t="shared" si="50"/>
        <v>0.3</v>
      </c>
      <c r="P232" s="128">
        <f t="shared" si="5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49"/>
        <v>0</v>
      </c>
      <c r="C233" s="128">
        <v>0.4</v>
      </c>
      <c r="D233" s="128">
        <f t="shared" si="50"/>
        <v>0.4</v>
      </c>
      <c r="E233" s="128">
        <f t="shared" si="50"/>
        <v>0.4</v>
      </c>
      <c r="F233" s="128">
        <f t="shared" si="50"/>
        <v>0.4</v>
      </c>
      <c r="G233" s="128">
        <f t="shared" si="50"/>
        <v>0.4</v>
      </c>
      <c r="H233" s="128">
        <f t="shared" si="50"/>
        <v>0.4</v>
      </c>
      <c r="I233" s="128">
        <f t="shared" si="50"/>
        <v>0.4</v>
      </c>
      <c r="J233" s="128">
        <f t="shared" si="50"/>
        <v>0.4</v>
      </c>
      <c r="K233" s="128">
        <f t="shared" si="50"/>
        <v>0.4</v>
      </c>
      <c r="L233" s="128">
        <f t="shared" si="50"/>
        <v>0.4</v>
      </c>
      <c r="M233" s="128">
        <f t="shared" si="50"/>
        <v>0.4</v>
      </c>
      <c r="N233" s="128">
        <f t="shared" si="50"/>
        <v>0.4</v>
      </c>
      <c r="O233" s="128">
        <f t="shared" si="50"/>
        <v>0.4</v>
      </c>
      <c r="P233" s="128">
        <f t="shared" si="5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49"/>
        <v>0</v>
      </c>
      <c r="C234" s="132">
        <v>0.64</v>
      </c>
      <c r="D234" s="132">
        <f t="shared" si="50"/>
        <v>0.64</v>
      </c>
      <c r="E234" s="132">
        <f t="shared" si="50"/>
        <v>0.64</v>
      </c>
      <c r="F234" s="132">
        <f t="shared" si="50"/>
        <v>0.64</v>
      </c>
      <c r="G234" s="132">
        <f t="shared" si="50"/>
        <v>0.64</v>
      </c>
      <c r="H234" s="132">
        <f t="shared" si="50"/>
        <v>0.64</v>
      </c>
      <c r="I234" s="132">
        <f t="shared" si="50"/>
        <v>0.64</v>
      </c>
      <c r="J234" s="132">
        <f t="shared" si="50"/>
        <v>0.64</v>
      </c>
      <c r="K234" s="132">
        <f t="shared" si="50"/>
        <v>0.64</v>
      </c>
      <c r="L234" s="132">
        <f t="shared" si="50"/>
        <v>0.64</v>
      </c>
      <c r="M234" s="132">
        <f t="shared" si="50"/>
        <v>0.64</v>
      </c>
      <c r="N234" s="132">
        <f t="shared" si="50"/>
        <v>0.64</v>
      </c>
      <c r="O234" s="132">
        <f t="shared" si="50"/>
        <v>0.64</v>
      </c>
      <c r="P234" s="132">
        <f t="shared" si="5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51">SUM(B229:B234)</f>
        <v>0</v>
      </c>
      <c r="C235" s="136">
        <f t="shared" si="51"/>
        <v>3.54</v>
      </c>
      <c r="D235" s="136">
        <f t="shared" si="51"/>
        <v>3.54</v>
      </c>
      <c r="E235" s="136">
        <f t="shared" si="51"/>
        <v>3.54</v>
      </c>
      <c r="F235" s="136">
        <f t="shared" si="51"/>
        <v>3.54</v>
      </c>
      <c r="G235" s="136">
        <f t="shared" si="51"/>
        <v>3.54</v>
      </c>
      <c r="H235" s="136">
        <f t="shared" si="51"/>
        <v>3.54</v>
      </c>
      <c r="I235" s="136">
        <f t="shared" ca="1" si="51"/>
        <v>121.23900000000009</v>
      </c>
      <c r="J235" s="136">
        <f t="shared" ca="1" si="51"/>
        <v>121.23900000000009</v>
      </c>
      <c r="K235" s="136">
        <f t="shared" ca="1" si="51"/>
        <v>121.23900000000009</v>
      </c>
      <c r="L235" s="136">
        <f t="shared" ca="1" si="51"/>
        <v>125.2590000000001</v>
      </c>
      <c r="M235" s="136">
        <f t="shared" ca="1" si="51"/>
        <v>121.23900000000009</v>
      </c>
      <c r="N235" s="136">
        <f t="shared" ca="1" si="51"/>
        <v>121.23900000000009</v>
      </c>
      <c r="O235" s="136">
        <f t="shared" ca="1" si="51"/>
        <v>121.23900000000009</v>
      </c>
      <c r="P235" s="136">
        <f t="shared" ca="1" si="51"/>
        <v>121.23900000000009</v>
      </c>
      <c r="Q235" s="136">
        <f t="shared" si="51"/>
        <v>0</v>
      </c>
      <c r="R235" s="136">
        <f t="shared" si="51"/>
        <v>0</v>
      </c>
      <c r="S235" s="136">
        <f t="shared" si="51"/>
        <v>0</v>
      </c>
      <c r="T235" s="136">
        <f t="shared" si="51"/>
        <v>0</v>
      </c>
      <c r="U235" s="136">
        <f t="shared" si="51"/>
        <v>0</v>
      </c>
      <c r="V235" s="136">
        <f t="shared" si="51"/>
        <v>0</v>
      </c>
      <c r="W235" s="136">
        <f t="shared" si="51"/>
        <v>0</v>
      </c>
      <c r="X235" s="136">
        <f t="shared" si="51"/>
        <v>0</v>
      </c>
      <c r="Y235" s="136">
        <f t="shared" si="51"/>
        <v>0</v>
      </c>
      <c r="Z235" s="136">
        <f t="shared" si="51"/>
        <v>0</v>
      </c>
      <c r="AA235" s="136">
        <f t="shared" si="51"/>
        <v>0</v>
      </c>
      <c r="AB235" s="136">
        <f t="shared" si="51"/>
        <v>0</v>
      </c>
      <c r="AC235" s="136">
        <f t="shared" si="51"/>
        <v>0</v>
      </c>
      <c r="AD235" s="136">
        <f t="shared" si="51"/>
        <v>0</v>
      </c>
      <c r="AE235" s="136">
        <f t="shared" si="51"/>
        <v>0</v>
      </c>
      <c r="AF235" s="136">
        <f t="shared" si="51"/>
        <v>0</v>
      </c>
      <c r="AG235" s="145">
        <f t="shared" si="5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2172.2400000000002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26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2080/06/26)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2080/06/26)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52">B91</f>
        <v>2090.84</v>
      </c>
      <c r="U249" s="170">
        <f t="shared" si="52"/>
        <v>2088.94</v>
      </c>
      <c r="V249" s="170">
        <f t="shared" si="52"/>
        <v>2057.44</v>
      </c>
      <c r="W249" s="170">
        <f t="shared" si="52"/>
        <v>2042.9399999999998</v>
      </c>
      <c r="X249" s="170">
        <f t="shared" si="52"/>
        <v>2032.9399999999998</v>
      </c>
      <c r="Y249" s="170">
        <f t="shared" si="52"/>
        <v>2035.54</v>
      </c>
      <c r="Z249" s="170">
        <f t="shared" si="52"/>
        <v>2063.64</v>
      </c>
      <c r="AA249" s="170">
        <f t="shared" si="52"/>
        <v>2077.64</v>
      </c>
      <c r="AB249" s="170">
        <f t="shared" si="52"/>
        <v>2096.54</v>
      </c>
      <c r="AC249" s="170">
        <f t="shared" si="52"/>
        <v>2170.84</v>
      </c>
      <c r="AD249" s="170">
        <f t="shared" si="52"/>
        <v>2172.2400000000002</v>
      </c>
      <c r="AE249" s="170">
        <f t="shared" si="52"/>
        <v>2172.2400000000002</v>
      </c>
      <c r="AF249" s="170">
        <f t="shared" si="52"/>
        <v>2108.2400000000002</v>
      </c>
      <c r="AG249" s="170">
        <f t="shared" si="52"/>
        <v>2120.2400000000002</v>
      </c>
      <c r="AH249" s="170">
        <f t="shared" si="52"/>
        <v>2120.2400000000002</v>
      </c>
      <c r="AI249" s="170">
        <f t="shared" si="52"/>
        <v>2120.2400000000002</v>
      </c>
      <c r="AJ249" s="170">
        <f t="shared" si="52"/>
        <v>2135.2400000000002</v>
      </c>
      <c r="AK249" s="170">
        <f t="shared" si="52"/>
        <v>2087.64</v>
      </c>
      <c r="AL249" s="170">
        <f t="shared" si="52"/>
        <v>2078.64</v>
      </c>
      <c r="AM249" s="170">
        <f t="shared" si="52"/>
        <v>2032.04</v>
      </c>
      <c r="AN249" s="170">
        <f t="shared" si="52"/>
        <v>2001.44</v>
      </c>
      <c r="AO249" s="170">
        <f t="shared" si="52"/>
        <v>2101.54</v>
      </c>
      <c r="AP249" s="170">
        <f t="shared" si="52"/>
        <v>2184.54</v>
      </c>
      <c r="AQ249" s="170">
        <f t="shared" si="52"/>
        <v>2255.4399999999996</v>
      </c>
      <c r="AR249" s="170">
        <f t="shared" si="52"/>
        <v>2238.34</v>
      </c>
      <c r="AS249" s="170">
        <f t="shared" si="52"/>
        <v>2197.94</v>
      </c>
      <c r="AT249" s="170">
        <f t="shared" si="52"/>
        <v>2184.9400000000005</v>
      </c>
      <c r="AU249" s="170">
        <f t="shared" si="52"/>
        <v>2180.14</v>
      </c>
      <c r="AV249" s="170">
        <f t="shared" si="52"/>
        <v>3.54</v>
      </c>
      <c r="AW249" s="170">
        <f t="shared" si="52"/>
        <v>2160.25</v>
      </c>
      <c r="AX249" s="170">
        <f t="shared" si="52"/>
        <v>2095.7400000000002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53">C234</f>
        <v>0.64</v>
      </c>
      <c r="C270" s="173">
        <f t="shared" si="53"/>
        <v>0.64</v>
      </c>
      <c r="D270" s="173">
        <f t="shared" si="53"/>
        <v>0.64</v>
      </c>
      <c r="E270" s="173">
        <f t="shared" si="53"/>
        <v>0.64</v>
      </c>
      <c r="F270" s="173">
        <f t="shared" si="53"/>
        <v>0.64</v>
      </c>
      <c r="G270" s="173">
        <f t="shared" si="53"/>
        <v>0.64</v>
      </c>
      <c r="H270" s="173">
        <f t="shared" si="53"/>
        <v>0.64</v>
      </c>
      <c r="I270" s="173">
        <f t="shared" si="53"/>
        <v>0.64</v>
      </c>
      <c r="J270" s="173">
        <f t="shared" si="53"/>
        <v>0.64</v>
      </c>
      <c r="K270" s="173">
        <f t="shared" si="53"/>
        <v>0.64</v>
      </c>
      <c r="L270" s="173">
        <f t="shared" si="53"/>
        <v>0.64</v>
      </c>
      <c r="M270" s="173">
        <f t="shared" si="53"/>
        <v>0.64</v>
      </c>
      <c r="N270" s="173">
        <f t="shared" si="53"/>
        <v>0.64</v>
      </c>
      <c r="O270" s="173">
        <f t="shared" si="53"/>
        <v>0.64</v>
      </c>
      <c r="P270" s="173">
        <f t="shared" si="53"/>
        <v>0</v>
      </c>
      <c r="Q270" s="173">
        <f t="shared" si="53"/>
        <v>0</v>
      </c>
      <c r="R270" s="173">
        <f t="shared" si="53"/>
        <v>0</v>
      </c>
      <c r="S270" s="173">
        <f t="shared" si="53"/>
        <v>0</v>
      </c>
      <c r="T270" s="173">
        <f t="shared" si="53"/>
        <v>0</v>
      </c>
      <c r="U270" s="173">
        <f t="shared" si="53"/>
        <v>0</v>
      </c>
      <c r="V270" s="173">
        <f t="shared" si="53"/>
        <v>0</v>
      </c>
      <c r="W270" s="173">
        <f t="shared" si="53"/>
        <v>0</v>
      </c>
      <c r="X270" s="173">
        <f t="shared" si="53"/>
        <v>0</v>
      </c>
      <c r="Y270" s="173">
        <f t="shared" si="53"/>
        <v>0</v>
      </c>
      <c r="Z270" s="173">
        <f t="shared" si="53"/>
        <v>0</v>
      </c>
      <c r="AA270" s="173">
        <f t="shared" si="53"/>
        <v>0</v>
      </c>
      <c r="AB270" s="173">
        <f t="shared" si="53"/>
        <v>0</v>
      </c>
      <c r="AC270" s="173">
        <f t="shared" si="53"/>
        <v>0</v>
      </c>
      <c r="AD270" s="173">
        <f t="shared" si="53"/>
        <v>0</v>
      </c>
      <c r="AE270" s="173">
        <f t="shared" si="5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54">IF(B238&lt;100,"",B238-520)</f>
        <v/>
      </c>
      <c r="C271" s="174" t="str">
        <f t="shared" si="54"/>
        <v/>
      </c>
      <c r="D271" s="174" t="str">
        <f t="shared" si="54"/>
        <v/>
      </c>
      <c r="E271" s="174" t="str">
        <f t="shared" si="54"/>
        <v/>
      </c>
      <c r="F271" s="174" t="str">
        <f t="shared" si="54"/>
        <v/>
      </c>
      <c r="G271" s="174" t="str">
        <f t="shared" si="54"/>
        <v/>
      </c>
      <c r="H271" s="174" t="str">
        <f t="shared" si="54"/>
        <v/>
      </c>
      <c r="I271" s="174" t="str">
        <f t="shared" si="54"/>
        <v/>
      </c>
      <c r="J271" s="174" t="str">
        <f t="shared" si="54"/>
        <v/>
      </c>
      <c r="K271" s="174" t="str">
        <f t="shared" si="54"/>
        <v/>
      </c>
      <c r="L271" s="174" t="str">
        <f t="shared" si="54"/>
        <v/>
      </c>
      <c r="M271" s="174" t="str">
        <f t="shared" si="54"/>
        <v/>
      </c>
      <c r="N271" s="174" t="str">
        <f t="shared" si="54"/>
        <v/>
      </c>
      <c r="O271" s="174" t="str">
        <f t="shared" si="54"/>
        <v/>
      </c>
      <c r="P271" s="174" t="str">
        <f t="shared" si="54"/>
        <v/>
      </c>
      <c r="Q271" s="174" t="str">
        <f t="shared" si="54"/>
        <v/>
      </c>
      <c r="R271" s="174" t="str">
        <f t="shared" si="54"/>
        <v/>
      </c>
      <c r="S271" s="174" t="str">
        <f t="shared" si="54"/>
        <v/>
      </c>
      <c r="T271" s="174" t="str">
        <f t="shared" si="54"/>
        <v/>
      </c>
      <c r="U271" s="174" t="str">
        <f t="shared" si="54"/>
        <v/>
      </c>
      <c r="V271" s="174" t="str">
        <f t="shared" si="54"/>
        <v/>
      </c>
      <c r="W271" s="174" t="str">
        <f t="shared" si="54"/>
        <v/>
      </c>
      <c r="X271" s="174" t="str">
        <f t="shared" si="54"/>
        <v/>
      </c>
      <c r="Y271" s="174" t="str">
        <f t="shared" si="54"/>
        <v/>
      </c>
      <c r="Z271" s="174" t="str">
        <f t="shared" si="54"/>
        <v/>
      </c>
      <c r="AA271" s="174" t="str">
        <f t="shared" si="54"/>
        <v/>
      </c>
      <c r="AB271" s="174" t="str">
        <f t="shared" si="54"/>
        <v/>
      </c>
      <c r="AC271" s="174" t="str">
        <f t="shared" si="54"/>
        <v/>
      </c>
      <c r="AD271" s="174" t="str">
        <f t="shared" si="54"/>
        <v/>
      </c>
      <c r="AE271" s="174" t="str">
        <f t="shared" si="54"/>
        <v/>
      </c>
      <c r="AF271" s="174" t="str">
        <f t="shared" si="5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55">IF(B239&lt;100,"",B239-620)</f>
        <v/>
      </c>
      <c r="C272" s="174" t="str">
        <f t="shared" si="55"/>
        <v/>
      </c>
      <c r="D272" s="174" t="str">
        <f t="shared" si="55"/>
        <v/>
      </c>
      <c r="E272" s="174" t="str">
        <f t="shared" si="55"/>
        <v/>
      </c>
      <c r="F272" s="174" t="str">
        <f t="shared" si="55"/>
        <v/>
      </c>
      <c r="G272" s="174" t="str">
        <f t="shared" si="55"/>
        <v/>
      </c>
      <c r="H272" s="174" t="str">
        <f t="shared" si="55"/>
        <v/>
      </c>
      <c r="I272" s="174" t="str">
        <f t="shared" si="55"/>
        <v/>
      </c>
      <c r="J272" s="174" t="str">
        <f t="shared" si="55"/>
        <v/>
      </c>
      <c r="K272" s="174" t="str">
        <f t="shared" si="55"/>
        <v/>
      </c>
      <c r="L272" s="174" t="str">
        <f t="shared" si="55"/>
        <v/>
      </c>
      <c r="M272" s="174" t="str">
        <f t="shared" si="55"/>
        <v/>
      </c>
      <c r="N272" s="174" t="str">
        <f t="shared" si="55"/>
        <v/>
      </c>
      <c r="O272" s="174" t="str">
        <f t="shared" si="55"/>
        <v/>
      </c>
      <c r="P272" s="174" t="str">
        <f t="shared" si="55"/>
        <v/>
      </c>
      <c r="Q272" s="174" t="str">
        <f t="shared" si="55"/>
        <v/>
      </c>
      <c r="R272" s="174" t="str">
        <f t="shared" si="55"/>
        <v/>
      </c>
      <c r="S272" s="174" t="str">
        <f t="shared" si="55"/>
        <v/>
      </c>
      <c r="T272" s="174" t="str">
        <f t="shared" si="55"/>
        <v/>
      </c>
      <c r="U272" s="174" t="str">
        <f t="shared" si="55"/>
        <v/>
      </c>
      <c r="V272" s="174" t="str">
        <f t="shared" si="55"/>
        <v/>
      </c>
      <c r="W272" s="174" t="str">
        <f t="shared" si="55"/>
        <v/>
      </c>
      <c r="X272" s="174" t="str">
        <f t="shared" si="55"/>
        <v/>
      </c>
      <c r="Y272" s="174" t="str">
        <f t="shared" si="55"/>
        <v/>
      </c>
      <c r="Z272" s="174" t="str">
        <f t="shared" si="55"/>
        <v/>
      </c>
      <c r="AA272" s="174" t="str">
        <f t="shared" si="55"/>
        <v/>
      </c>
      <c r="AB272" s="174" t="str">
        <f t="shared" si="55"/>
        <v/>
      </c>
      <c r="AC272" s="174" t="str">
        <f t="shared" si="55"/>
        <v/>
      </c>
      <c r="AD272" s="174" t="str">
        <f t="shared" si="55"/>
        <v/>
      </c>
      <c r="AE272" s="174" t="str">
        <f t="shared" si="55"/>
        <v/>
      </c>
      <c r="AF272" s="174" t="str">
        <f t="shared" si="5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56">IF(B240&lt;100,"",B240-330)</f>
        <v/>
      </c>
      <c r="C273" s="174" t="str">
        <f t="shared" si="56"/>
        <v/>
      </c>
      <c r="D273" s="174" t="str">
        <f t="shared" si="56"/>
        <v/>
      </c>
      <c r="E273" s="174" t="str">
        <f t="shared" si="56"/>
        <v/>
      </c>
      <c r="F273" s="174" t="str">
        <f t="shared" si="56"/>
        <v/>
      </c>
      <c r="G273" s="174" t="str">
        <f t="shared" si="56"/>
        <v/>
      </c>
      <c r="H273" s="174" t="str">
        <f t="shared" si="56"/>
        <v/>
      </c>
      <c r="I273" s="174" t="str">
        <f t="shared" si="56"/>
        <v/>
      </c>
      <c r="J273" s="174" t="str">
        <f t="shared" si="56"/>
        <v/>
      </c>
      <c r="K273" s="174" t="str">
        <f t="shared" si="56"/>
        <v/>
      </c>
      <c r="L273" s="174" t="str">
        <f t="shared" si="56"/>
        <v/>
      </c>
      <c r="M273" s="174" t="str">
        <f t="shared" si="56"/>
        <v/>
      </c>
      <c r="N273" s="174" t="str">
        <f t="shared" si="56"/>
        <v/>
      </c>
      <c r="O273" s="174" t="str">
        <f t="shared" si="56"/>
        <v/>
      </c>
      <c r="P273" s="174" t="str">
        <f t="shared" si="56"/>
        <v/>
      </c>
      <c r="Q273" s="174" t="str">
        <f t="shared" si="56"/>
        <v/>
      </c>
      <c r="R273" s="174" t="str">
        <f t="shared" si="56"/>
        <v/>
      </c>
      <c r="S273" s="174" t="str">
        <f t="shared" si="56"/>
        <v/>
      </c>
      <c r="T273" s="174" t="str">
        <f t="shared" si="56"/>
        <v/>
      </c>
      <c r="U273" s="174" t="str">
        <f t="shared" si="56"/>
        <v/>
      </c>
      <c r="V273" s="174" t="str">
        <f t="shared" si="56"/>
        <v/>
      </c>
      <c r="W273" s="174" t="str">
        <f t="shared" si="56"/>
        <v/>
      </c>
      <c r="X273" s="174" t="str">
        <f t="shared" si="56"/>
        <v/>
      </c>
      <c r="Y273" s="174" t="str">
        <f t="shared" si="56"/>
        <v/>
      </c>
      <c r="Z273" s="174" t="str">
        <f t="shared" si="56"/>
        <v/>
      </c>
      <c r="AA273" s="174" t="str">
        <f t="shared" si="56"/>
        <v/>
      </c>
      <c r="AB273" s="174" t="str">
        <f t="shared" si="56"/>
        <v/>
      </c>
      <c r="AC273" s="174" t="str">
        <f t="shared" si="56"/>
        <v/>
      </c>
      <c r="AD273" s="174" t="str">
        <f t="shared" si="56"/>
        <v/>
      </c>
      <c r="AE273" s="174" t="str">
        <f t="shared" si="56"/>
        <v/>
      </c>
      <c r="AF273" s="174" t="str">
        <f t="shared" si="5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57">IF(B241&lt;100,"",B241-1500)</f>
        <v/>
      </c>
      <c r="C274" s="174" t="str">
        <f t="shared" si="57"/>
        <v/>
      </c>
      <c r="D274" s="174" t="str">
        <f t="shared" si="57"/>
        <v/>
      </c>
      <c r="E274" s="174" t="str">
        <f t="shared" si="57"/>
        <v/>
      </c>
      <c r="F274" s="174" t="str">
        <f t="shared" si="57"/>
        <v/>
      </c>
      <c r="G274" s="174" t="str">
        <f t="shared" si="57"/>
        <v/>
      </c>
      <c r="H274" s="174" t="str">
        <f t="shared" si="57"/>
        <v/>
      </c>
      <c r="I274" s="174" t="str">
        <f t="shared" si="57"/>
        <v/>
      </c>
      <c r="J274" s="174" t="str">
        <f t="shared" si="57"/>
        <v/>
      </c>
      <c r="K274" s="174" t="str">
        <f t="shared" si="57"/>
        <v/>
      </c>
      <c r="L274" s="174" t="str">
        <f t="shared" si="57"/>
        <v/>
      </c>
      <c r="M274" s="174" t="str">
        <f t="shared" si="57"/>
        <v/>
      </c>
      <c r="N274" s="174" t="str">
        <f t="shared" si="57"/>
        <v/>
      </c>
      <c r="O274" s="174" t="str">
        <f t="shared" si="57"/>
        <v/>
      </c>
      <c r="P274" s="174" t="str">
        <f t="shared" si="57"/>
        <v/>
      </c>
      <c r="Q274" s="174" t="str">
        <f t="shared" si="57"/>
        <v/>
      </c>
      <c r="R274" s="174" t="str">
        <f t="shared" si="57"/>
        <v/>
      </c>
      <c r="S274" s="174" t="str">
        <f t="shared" si="57"/>
        <v/>
      </c>
      <c r="T274" s="174" t="str">
        <f t="shared" si="57"/>
        <v/>
      </c>
      <c r="U274" s="174" t="str">
        <f t="shared" si="57"/>
        <v/>
      </c>
      <c r="V274" s="174" t="str">
        <f t="shared" si="57"/>
        <v/>
      </c>
      <c r="W274" s="174" t="str">
        <f t="shared" si="57"/>
        <v/>
      </c>
      <c r="X274" s="174" t="str">
        <f t="shared" si="57"/>
        <v/>
      </c>
      <c r="Y274" s="174" t="str">
        <f t="shared" si="57"/>
        <v/>
      </c>
      <c r="Z274" s="174" t="str">
        <f t="shared" si="57"/>
        <v/>
      </c>
      <c r="AA274" s="174" t="str">
        <f t="shared" si="57"/>
        <v/>
      </c>
      <c r="AB274" s="174" t="str">
        <f t="shared" si="57"/>
        <v/>
      </c>
      <c r="AC274" s="174" t="str">
        <f t="shared" si="57"/>
        <v/>
      </c>
      <c r="AD274" s="174" t="str">
        <f t="shared" si="57"/>
        <v/>
      </c>
      <c r="AE274" s="174" t="str">
        <f t="shared" si="57"/>
        <v/>
      </c>
      <c r="AF274" s="174" t="str">
        <f t="shared" si="5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791" priority="170">
      <formula>$AH11=0</formula>
    </cfRule>
  </conditionalFormatting>
  <conditionalFormatting sqref="B8 M8 S8 AB8">
    <cfRule type="expression" dxfId="790" priority="221">
      <formula>AND(C$9&gt;=14/24,C$9&lt;20/24)</formula>
    </cfRule>
    <cfRule type="expression" dxfId="789" priority="222">
      <formula>AND(C$9&gt;=8/24,C$9&lt;14/24)</formula>
    </cfRule>
    <cfRule type="expression" dxfId="788" priority="223">
      <formula>C$9&lt;8/24</formula>
    </cfRule>
  </conditionalFormatting>
  <conditionalFormatting sqref="K60:X60">
    <cfRule type="expression" dxfId="787" priority="157">
      <formula>K$9&gt;=20/24</formula>
    </cfRule>
    <cfRule type="expression" dxfId="786" priority="158">
      <formula>AND(K$9&gt;=14/24,K$9&lt;20/24)</formula>
    </cfRule>
    <cfRule type="expression" dxfId="785" priority="159">
      <formula>AND(K$9&gt;=8/24,K$9&lt;14/24)</formula>
    </cfRule>
    <cfRule type="expression" dxfId="784" priority="160">
      <formula>K$9&lt;8/24</formula>
    </cfRule>
  </conditionalFormatting>
  <conditionalFormatting sqref="Y61:AD66">
    <cfRule type="expression" dxfId="783" priority="140">
      <formula>Y$9&gt;=20/24</formula>
    </cfRule>
    <cfRule type="expression" dxfId="782" priority="141">
      <formula>AND(Y$9&gt;=14/24,Y$9&lt;20/24)</formula>
    </cfRule>
    <cfRule type="expression" dxfId="781" priority="142">
      <formula>AND(Y$9&gt;=8/24,Y$9&lt;14/24)</formula>
    </cfRule>
    <cfRule type="expression" dxfId="780" priority="143">
      <formula>Y$9&lt;8/24</formula>
    </cfRule>
  </conditionalFormatting>
  <conditionalFormatting sqref="B9:AF10 K11:X12 H19:X19 Y11:AF45">
    <cfRule type="expression" dxfId="779" priority="129">
      <formula>B$9&gt;=20/24</formula>
    </cfRule>
    <cfRule type="expression" dxfId="778" priority="130">
      <formula>AND(B$9&gt;=14/24,B$9&lt;20/24)</formula>
    </cfRule>
    <cfRule type="expression" dxfId="777" priority="131">
      <formula>AND(B$9&gt;=8/24,B$9&lt;14/24)</formula>
    </cfRule>
    <cfRule type="expression" dxfId="776" priority="132">
      <formula>B$9&lt;8/24</formula>
    </cfRule>
  </conditionalFormatting>
  <conditionalFormatting sqref="K11:X12 H19:X19 Y11:AF46">
    <cfRule type="expression" dxfId="775" priority="128">
      <formula>H11&gt;$AG11</formula>
    </cfRule>
  </conditionalFormatting>
  <conditionalFormatting sqref="Y46:AF46">
    <cfRule type="expression" dxfId="774" priority="124">
      <formula>Y$9&gt;=20/24</formula>
    </cfRule>
    <cfRule type="expression" dxfId="773" priority="125">
      <formula>AND(Y$9&gt;=14/24,Y$9&lt;20/24)</formula>
    </cfRule>
    <cfRule type="expression" dxfId="772" priority="126">
      <formula>AND(Y$9&gt;=8/24,Y$9&lt;14/24)</formula>
    </cfRule>
    <cfRule type="expression" dxfId="771" priority="127">
      <formula>Y$9&lt;8/24</formula>
    </cfRule>
  </conditionalFormatting>
  <conditionalFormatting sqref="L47:AF47">
    <cfRule type="expression" dxfId="770" priority="138">
      <formula>L47&gt;$AG47</formula>
    </cfRule>
  </conditionalFormatting>
  <conditionalFormatting sqref="E49:L49 L47:L48 M47:AF49">
    <cfRule type="expression" dxfId="769" priority="134">
      <formula>E$9&gt;=20/24</formula>
    </cfRule>
    <cfRule type="expression" dxfId="768" priority="135">
      <formula>AND(E$9&gt;=14/24,E$9&lt;20/24)</formula>
    </cfRule>
    <cfRule type="expression" dxfId="767" priority="136">
      <formula>AND(E$9&gt;=8/24,E$9&lt;14/24)</formula>
    </cfRule>
    <cfRule type="expression" dxfId="766" priority="137">
      <formula>E$9&lt;8/24</formula>
    </cfRule>
  </conditionalFormatting>
  <conditionalFormatting sqref="E50:AA50 L48 E49:L49 L51:R51 I53:R53 S51:AA53 M48:AD49 AB50:AD53 AE48:AF53">
    <cfRule type="expression" dxfId="765" priority="133">
      <formula>E48&gt;$AG48</formula>
    </cfRule>
  </conditionalFormatting>
  <conditionalFormatting sqref="L51:R51 I53:R53 S51:AF53">
    <cfRule type="expression" dxfId="764" priority="153">
      <formula>I$9&gt;=20/24</formula>
    </cfRule>
    <cfRule type="expression" dxfId="763" priority="154">
      <formula>AND(I$9&gt;=14/24,I$9&lt;20/24)</formula>
    </cfRule>
    <cfRule type="expression" dxfId="762" priority="155">
      <formula>AND(I$9&gt;=8/24,I$9&lt;14/24)</formula>
    </cfRule>
    <cfRule type="expression" dxfId="761" priority="156">
      <formula>I$9&lt;8/24</formula>
    </cfRule>
  </conditionalFormatting>
  <conditionalFormatting sqref="B69:AF71">
    <cfRule type="expression" dxfId="760" priority="161">
      <formula>B69&gt;$AG69</formula>
    </cfRule>
    <cfRule type="expression" dxfId="759" priority="162">
      <formula>B$9&gt;=20/24</formula>
    </cfRule>
    <cfRule type="expression" dxfId="758" priority="163">
      <formula>AND(B$9&gt;=14/24,B$9&lt;20/24)</formula>
    </cfRule>
    <cfRule type="expression" dxfId="757" priority="164">
      <formula>AND(B$9&gt;=8/24,B$9&lt;14/24)</formula>
    </cfRule>
    <cfRule type="expression" dxfId="756" priority="165">
      <formula>B$9&lt;8/24</formula>
    </cfRule>
  </conditionalFormatting>
  <conditionalFormatting sqref="E73:AD83 D84:AD91 AE73:AF91">
    <cfRule type="expression" dxfId="755" priority="107">
      <formula>D$9&gt;=20/24</formula>
    </cfRule>
    <cfRule type="expression" dxfId="754" priority="108">
      <formula>AND(D$9&gt;=14/24,D$9&lt;20/24)</formula>
    </cfRule>
    <cfRule type="expression" dxfId="753" priority="109">
      <formula>AND(D$9&gt;=8/24,D$9&lt;14/24)</formula>
    </cfRule>
    <cfRule type="expression" dxfId="752" priority="110">
      <formula>D$9&lt;8/24</formula>
    </cfRule>
  </conditionalFormatting>
  <conditionalFormatting sqref="D111:AF120">
    <cfRule type="expression" dxfId="751" priority="120">
      <formula>D$9&gt;=20/24</formula>
    </cfRule>
    <cfRule type="expression" dxfId="750" priority="121">
      <formula>AND(D$9&gt;=14/24,D$9&lt;20/24)</formula>
    </cfRule>
    <cfRule type="expression" dxfId="749" priority="122">
      <formula>AND(D$9&gt;=8/24,D$9&lt;14/24)</formula>
    </cfRule>
    <cfRule type="expression" dxfId="748" priority="123">
      <formula>D$9&lt;8/24</formula>
    </cfRule>
  </conditionalFormatting>
  <conditionalFormatting sqref="B227:AF227 D229:AF230 B229:B235 D231:H231 J231:AF231 D232:AF235 U248:AF248">
    <cfRule type="expression" dxfId="747" priority="214">
      <formula>B$9&gt;=20/24</formula>
    </cfRule>
    <cfRule type="expression" dxfId="746" priority="215">
      <formula>AND(B$9&gt;=14/24,B$9&lt;20/24)</formula>
    </cfRule>
    <cfRule type="expression" dxfId="745" priority="216">
      <formula>AND(B$9&gt;=8/24,B$9&lt;14/24)</formula>
    </cfRule>
    <cfRule type="expression" dxfId="744" priority="217">
      <formula>B$9&lt;8/24</formula>
    </cfRule>
  </conditionalFormatting>
  <conditionalFormatting sqref="E67:AG68 E72:AG72">
    <cfRule type="expression" dxfId="743" priority="148">
      <formula>E67&gt;$AG67</formula>
    </cfRule>
  </conditionalFormatting>
  <conditionalFormatting sqref="E72:AG72 D93:AF109">
    <cfRule type="expression" dxfId="742" priority="149">
      <formula>D$9&gt;=20/24</formula>
    </cfRule>
    <cfRule type="expression" dxfId="741" priority="150">
      <formula>AND(D$9&gt;=14/24,D$9&lt;20/24)</formula>
    </cfRule>
    <cfRule type="expression" dxfId="740" priority="151">
      <formula>AND(D$9&gt;=8/24,D$9&lt;14/24)</formula>
    </cfRule>
    <cfRule type="expression" dxfId="739" priority="152">
      <formula>D$9&lt;8/24</formula>
    </cfRule>
  </conditionalFormatting>
  <conditionalFormatting sqref="E55:L59 K60:L60 M55:X60 Y55:AF66">
    <cfRule type="expression" dxfId="738" priority="111">
      <formula>E55&gt;$AG55</formula>
    </cfRule>
  </conditionalFormatting>
  <conditionalFormatting sqref="E54:AG54">
    <cfRule type="expression" dxfId="737" priority="182">
      <formula>E54&gt;$AG54</formula>
    </cfRule>
    <cfRule type="expression" dxfId="736" priority="183">
      <formula>E$9&gt;=20/24</formula>
    </cfRule>
    <cfRule type="expression" dxfId="735" priority="184">
      <formula>AND(E$9&gt;=14/24,E$9&lt;20/24)</formula>
    </cfRule>
    <cfRule type="expression" dxfId="734" priority="185">
      <formula>AND(E$9&gt;=8/24,E$9&lt;14/24)</formula>
    </cfRule>
    <cfRule type="expression" dxfId="733" priority="186">
      <formula>E$9&lt;8/24</formula>
    </cfRule>
  </conditionalFormatting>
  <conditionalFormatting sqref="E55:X57">
    <cfRule type="expression" dxfId="732" priority="195">
      <formula>E$9&gt;=20/24</formula>
    </cfRule>
    <cfRule type="expression" dxfId="731" priority="196">
      <formula>AND(E$9&gt;=14/24,E$9&lt;20/24)</formula>
    </cfRule>
    <cfRule type="expression" dxfId="730" priority="197">
      <formula>AND(E$9&gt;=8/24,E$9&lt;14/24)</formula>
    </cfRule>
    <cfRule type="expression" dxfId="729" priority="198">
      <formula>E$9&lt;8/24</formula>
    </cfRule>
  </conditionalFormatting>
  <conditionalFormatting sqref="O3:P3">
    <cfRule type="iconSet" priority="218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728" priority="220">
      <formula>C$9&gt;=20/24</formula>
    </cfRule>
  </conditionalFormatting>
  <conditionalFormatting sqref="S8">
    <cfRule type="expression" dxfId="727" priority="207">
      <formula>U$9&gt;=20/24</formula>
    </cfRule>
    <cfRule type="expression" dxfId="726" priority="208">
      <formula>AND(U$9&gt;=14/24,U$9&lt;20/24)</formula>
    </cfRule>
    <cfRule type="expression" dxfId="725" priority="209">
      <formula>AND(U$9&gt;=8/24,U$9&lt;14/24)</formula>
    </cfRule>
    <cfRule type="expression" dxfId="724" priority="210">
      <formula>U$9&lt;8/24</formula>
    </cfRule>
  </conditionalFormatting>
  <conditionalFormatting sqref="Y55:AF60">
    <cfRule type="expression" dxfId="723" priority="116">
      <formula>Y$9&gt;=20/24</formula>
    </cfRule>
    <cfRule type="expression" dxfId="722" priority="117">
      <formula>AND(Y$9&gt;=14/24,Y$9&lt;20/24)</formula>
    </cfRule>
    <cfRule type="expression" dxfId="721" priority="118">
      <formula>AND(Y$9&gt;=8/24,Y$9&lt;14/24)</formula>
    </cfRule>
    <cfRule type="expression" dxfId="720" priority="119">
      <formula>Y$9&lt;8/24</formula>
    </cfRule>
  </conditionalFormatting>
  <conditionalFormatting sqref="T248">
    <cfRule type="expression" dxfId="719" priority="232">
      <formula>AX$9&gt;=20/24</formula>
    </cfRule>
    <cfRule type="expression" dxfId="718" priority="233">
      <formula>AND(AX$9&gt;=14/24,AX$9&lt;20/24)</formula>
    </cfRule>
    <cfRule type="expression" dxfId="717" priority="234">
      <formula>AND(AX$9&gt;=8/24,AX$9&lt;14/24)</formula>
    </cfRule>
    <cfRule type="expression" dxfId="716" priority="235">
      <formula>AX$9&lt;8/24</formula>
    </cfRule>
  </conditionalFormatting>
  <conditionalFormatting sqref="V3 AB3">
    <cfRule type="iconSet" priority="219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715" priority="203">
      <formula>AD$9&gt;=20/24</formula>
    </cfRule>
    <cfRule type="expression" dxfId="714" priority="204">
      <formula>AND(AD$9&gt;=14/24,AD$9&lt;20/24)</formula>
    </cfRule>
    <cfRule type="expression" dxfId="713" priority="205">
      <formula>AND(AD$9&gt;=8/24,AD$9&lt;14/24)</formula>
    </cfRule>
    <cfRule type="expression" dxfId="712" priority="206">
      <formula>AD$9&lt;8/24</formula>
    </cfRule>
  </conditionalFormatting>
  <conditionalFormatting sqref="AG50">
    <cfRule type="expression" dxfId="711" priority="190">
      <formula>AG50&gt;$AG50</formula>
    </cfRule>
  </conditionalFormatting>
  <conditionalFormatting sqref="AG89">
    <cfRule type="expression" dxfId="710" priority="191">
      <formula>AG$9&gt;=20/24</formula>
    </cfRule>
    <cfRule type="expression" dxfId="709" priority="192">
      <formula>AND(AG$9&gt;=14/24,AG$9&lt;20/24)</formula>
    </cfRule>
    <cfRule type="expression" dxfId="708" priority="193">
      <formula>AND(AG$9&gt;=8/24,AG$9&lt;14/24)</formula>
    </cfRule>
    <cfRule type="expression" dxfId="707" priority="194">
      <formula>AG$9&lt;8/24</formula>
    </cfRule>
  </conditionalFormatting>
  <conditionalFormatting sqref="AG248">
    <cfRule type="expression" dxfId="706" priority="224">
      <formula>B$9&gt;=20/24</formula>
    </cfRule>
    <cfRule type="expression" dxfId="705" priority="225">
      <formula>AND(B$9&gt;=14/24,B$9&lt;20/24)</formula>
    </cfRule>
    <cfRule type="expression" dxfId="704" priority="226">
      <formula>AND(B$9&gt;=8/24,B$9&lt;14/24)</formula>
    </cfRule>
    <cfRule type="expression" dxfId="703" priority="227">
      <formula>B$9&lt;8/24</formula>
    </cfRule>
  </conditionalFormatting>
  <conditionalFormatting sqref="AH248:AX248">
    <cfRule type="expression" dxfId="702" priority="228">
      <formula>AG$9&gt;=20/24</formula>
    </cfRule>
    <cfRule type="expression" dxfId="701" priority="229">
      <formula>AND(AG$9&gt;=14/24,AG$9&lt;20/24)</formula>
    </cfRule>
    <cfRule type="expression" dxfId="700" priority="230">
      <formula>AND(AG$9&gt;=8/24,AG$9&lt;14/24)</formula>
    </cfRule>
    <cfRule type="expression" dxfId="699" priority="231">
      <formula>AG$9&lt;8/24</formula>
    </cfRule>
  </conditionalFormatting>
  <conditionalFormatting sqref="AL4:AL6">
    <cfRule type="iconSet" priority="213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73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88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72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87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89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212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211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71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236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698" priority="237">
      <formula>AJ$9&gt;=20/24</formula>
    </cfRule>
    <cfRule type="expression" dxfId="697" priority="238">
      <formula>AND(AJ$9&gt;=14/24,AJ$9&lt;20/24)</formula>
    </cfRule>
    <cfRule type="expression" dxfId="696" priority="239">
      <formula>AND(AJ$9&gt;=8/24,AJ$9&lt;14/24)</formula>
    </cfRule>
    <cfRule type="expression" dxfId="695" priority="240">
      <formula>AJ$9&lt;8/24</formula>
    </cfRule>
  </conditionalFormatting>
  <conditionalFormatting sqref="AL80:AN80 AL86:AN86">
    <cfRule type="expression" dxfId="694" priority="178">
      <formula>AL$9&gt;=20/24</formula>
    </cfRule>
    <cfRule type="expression" dxfId="693" priority="179">
      <formula>AND(AL$9&gt;=14/24,AL$9&lt;20/24)</formula>
    </cfRule>
    <cfRule type="expression" dxfId="692" priority="180">
      <formula>AND(AL$9&gt;=8/24,AL$9&lt;14/24)</formula>
    </cfRule>
    <cfRule type="expression" dxfId="691" priority="181">
      <formula>AL$9&lt;8/24</formula>
    </cfRule>
  </conditionalFormatting>
  <conditionalFormatting sqref="AN81:AN84">
    <cfRule type="expression" dxfId="690" priority="174">
      <formula>AN$9&gt;=20/24</formula>
    </cfRule>
    <cfRule type="expression" dxfId="689" priority="175">
      <formula>AND(AN$9&gt;=14/24,AN$9&lt;20/24)</formula>
    </cfRule>
    <cfRule type="expression" dxfId="688" priority="176">
      <formula>AND(AN$9&gt;=8/24,AN$9&lt;14/24)</formula>
    </cfRule>
    <cfRule type="expression" dxfId="687" priority="177">
      <formula>AN$9&lt;8/24</formula>
    </cfRule>
  </conditionalFormatting>
  <conditionalFormatting sqref="B61:X66">
    <cfRule type="expression" dxfId="686" priority="33">
      <formula>B$9&gt;=20/24</formula>
    </cfRule>
    <cfRule type="expression" dxfId="685" priority="34">
      <formula>AND(B$9&gt;=14/24,B$9&lt;20/24)</formula>
    </cfRule>
    <cfRule type="expression" dxfId="684" priority="35">
      <formula>AND(B$9&gt;=8/24,B$9&lt;14/24)</formula>
    </cfRule>
    <cfRule type="expression" dxfId="683" priority="36">
      <formula>B$9&lt;8/24</formula>
    </cfRule>
  </conditionalFormatting>
  <conditionalFormatting sqref="B11:G45 H11:J18 K13:X18 H20:X45">
    <cfRule type="expression" dxfId="682" priority="23">
      <formula>B$9&gt;=20/24</formula>
    </cfRule>
    <cfRule type="expression" dxfId="681" priority="24">
      <formula>AND(B$9&gt;=14/24,B$9&lt;20/24)</formula>
    </cfRule>
    <cfRule type="expression" dxfId="680" priority="25">
      <formula>AND(B$9&gt;=8/24,B$9&lt;14/24)</formula>
    </cfRule>
    <cfRule type="expression" dxfId="679" priority="26">
      <formula>B$9&lt;8/24</formula>
    </cfRule>
  </conditionalFormatting>
  <conditionalFormatting sqref="B11:G46 H11:J18 K13:X18 H20:X46">
    <cfRule type="expression" dxfId="678" priority="22">
      <formula>B11&gt;$AG11</formula>
    </cfRule>
  </conditionalFormatting>
  <conditionalFormatting sqref="B46:X46">
    <cfRule type="expression" dxfId="677" priority="18">
      <formula>B$9&gt;=20/24</formula>
    </cfRule>
    <cfRule type="expression" dxfId="676" priority="19">
      <formula>AND(B$9&gt;=14/24,B$9&lt;20/24)</formula>
    </cfRule>
    <cfRule type="expression" dxfId="675" priority="20">
      <formula>AND(B$9&gt;=8/24,B$9&lt;14/24)</formula>
    </cfRule>
    <cfRule type="expression" dxfId="674" priority="21">
      <formula>B$9&lt;8/24</formula>
    </cfRule>
  </conditionalFormatting>
  <conditionalFormatting sqref="B47:K47">
    <cfRule type="expression" dxfId="673" priority="32">
      <formula>B47&gt;$AG47</formula>
    </cfRule>
  </conditionalFormatting>
  <conditionalFormatting sqref="B47:D49 E47:K48">
    <cfRule type="expression" dxfId="672" priority="28">
      <formula>B$9&gt;=20/24</formula>
    </cfRule>
    <cfRule type="expression" dxfId="671" priority="29">
      <formula>AND(B$9&gt;=14/24,B$9&lt;20/24)</formula>
    </cfRule>
    <cfRule type="expression" dxfId="670" priority="30">
      <formula>AND(B$9&gt;=8/24,B$9&lt;14/24)</formula>
    </cfRule>
    <cfRule type="expression" dxfId="669" priority="31">
      <formula>B$9&lt;8/24</formula>
    </cfRule>
  </conditionalFormatting>
  <conditionalFormatting sqref="B48:D53 E51:H53 E48:K48 I51:K52 L52:R52">
    <cfRule type="expression" dxfId="668" priority="27">
      <formula>B48&gt;$AG48</formula>
    </cfRule>
  </conditionalFormatting>
  <conditionalFormatting sqref="B51:H53 I51:K52 L52:R52">
    <cfRule type="expression" dxfId="667" priority="42">
      <formula>B$9&gt;=20/24</formula>
    </cfRule>
    <cfRule type="expression" dxfId="666" priority="43">
      <formula>AND(B$9&gt;=14/24,B$9&lt;20/24)</formula>
    </cfRule>
    <cfRule type="expression" dxfId="665" priority="44">
      <formula>AND(B$9&gt;=8/24,B$9&lt;14/24)</formula>
    </cfRule>
    <cfRule type="expression" dxfId="664" priority="45">
      <formula>B$9&lt;8/24</formula>
    </cfRule>
  </conditionalFormatting>
  <conditionalFormatting sqref="B73:C91 D73:D83">
    <cfRule type="expression" dxfId="663" priority="5">
      <formula>B$9&gt;=20/24</formula>
    </cfRule>
    <cfRule type="expression" dxfId="662" priority="6">
      <formula>AND(B$9&gt;=14/24,B$9&lt;20/24)</formula>
    </cfRule>
    <cfRule type="expression" dxfId="661" priority="7">
      <formula>AND(B$9&gt;=8/24,B$9&lt;14/24)</formula>
    </cfRule>
    <cfRule type="expression" dxfId="660" priority="8">
      <formula>B$9&lt;8/24</formula>
    </cfRule>
  </conditionalFormatting>
  <conditionalFormatting sqref="B111:C120">
    <cfRule type="expression" dxfId="659" priority="14">
      <formula>B$9&gt;=20/24</formula>
    </cfRule>
    <cfRule type="expression" dxfId="658" priority="15">
      <formula>AND(B$9&gt;=14/24,B$9&lt;20/24)</formula>
    </cfRule>
    <cfRule type="expression" dxfId="657" priority="16">
      <formula>AND(B$9&gt;=8/24,B$9&lt;14/24)</formula>
    </cfRule>
    <cfRule type="expression" dxfId="656" priority="17">
      <formula>B$9&lt;8/24</formula>
    </cfRule>
  </conditionalFormatting>
  <conditionalFormatting sqref="B72:D72 B67:D68">
    <cfRule type="expression" dxfId="655" priority="37">
      <formula>B67&gt;$AG67</formula>
    </cfRule>
  </conditionalFormatting>
  <conditionalFormatting sqref="B93:C109 B72:D72">
    <cfRule type="expression" dxfId="654" priority="38">
      <formula>B$9&gt;=20/24</formula>
    </cfRule>
    <cfRule type="expression" dxfId="653" priority="39">
      <formula>AND(B$9&gt;=14/24,B$9&lt;20/24)</formula>
    </cfRule>
    <cfRule type="expression" dxfId="652" priority="40">
      <formula>AND(B$9&gt;=8/24,B$9&lt;14/24)</formula>
    </cfRule>
    <cfRule type="expression" dxfId="651" priority="41">
      <formula>B$9&lt;8/24</formula>
    </cfRule>
  </conditionalFormatting>
  <conditionalFormatting sqref="B55:D66 E60:J66 K61:X66">
    <cfRule type="expression" dxfId="650" priority="9">
      <formula>B55&gt;$AG55</formula>
    </cfRule>
  </conditionalFormatting>
  <conditionalFormatting sqref="B54:D54">
    <cfRule type="expression" dxfId="649" priority="51">
      <formula>B54&gt;$AG54</formula>
    </cfRule>
    <cfRule type="expression" dxfId="648" priority="52">
      <formula>B$9&gt;=20/24</formula>
    </cfRule>
    <cfRule type="expression" dxfId="647" priority="53">
      <formula>AND(B$9&gt;=14/24,B$9&lt;20/24)</formula>
    </cfRule>
    <cfRule type="expression" dxfId="646" priority="54">
      <formula>AND(B$9&gt;=8/24,B$9&lt;14/24)</formula>
    </cfRule>
    <cfRule type="expression" dxfId="645" priority="55">
      <formula>B$9&lt;8/24</formula>
    </cfRule>
  </conditionalFormatting>
  <conditionalFormatting sqref="B55:D60 E60:J60">
    <cfRule type="expression" dxfId="644" priority="10">
      <formula>B$9&gt;=20/24</formula>
    </cfRule>
    <cfRule type="expression" dxfId="643" priority="11">
      <formula>AND(B$9&gt;=14/24,B$9&lt;20/24)</formula>
    </cfRule>
    <cfRule type="expression" dxfId="642" priority="12">
      <formula>AND(B$9&gt;=8/24,B$9&lt;14/24)</formula>
    </cfRule>
    <cfRule type="expression" dxfId="641" priority="13">
      <formula>B$9&lt;8/24</formula>
    </cfRule>
  </conditionalFormatting>
  <conditionalFormatting sqref="Y68">
    <cfRule type="expression" dxfId="640" priority="438">
      <formula>Y68&gt;$AG69</formula>
    </cfRule>
    <cfRule type="expression" dxfId="639" priority="439">
      <formula>Y$9&gt;=20/24</formula>
    </cfRule>
    <cfRule type="expression" dxfId="638" priority="440">
      <formula>AND(Y$9&gt;=14/24,Y$9&lt;20/24)</formula>
    </cfRule>
    <cfRule type="expression" dxfId="637" priority="441">
      <formula>AND(Y$9&gt;=8/24,Y$9&lt;14/24)</formula>
    </cfRule>
    <cfRule type="expression" dxfId="636" priority="442">
      <formula>Y$9&lt;8/24</formula>
    </cfRule>
  </conditionalFormatting>
  <conditionalFormatting sqref="AE61:AF66">
    <cfRule type="expression" dxfId="635" priority="1">
      <formula>AE$9&gt;=20/24</formula>
    </cfRule>
    <cfRule type="expression" dxfId="634" priority="2">
      <formula>AND(AE$9&gt;=14/24,AE$9&lt;20/24)</formula>
    </cfRule>
    <cfRule type="expression" dxfId="633" priority="3">
      <formula>AND(AE$9&gt;=8/24,AE$9&lt;14/24)</formula>
    </cfRule>
    <cfRule type="expression" dxfId="632" priority="4">
      <formula>AE$9&lt;8/24</formula>
    </cfRule>
  </conditionalFormatting>
  <pageMargins left="0.7" right="0.7" top="0.75" bottom="0.75" header="0.3" footer="0.3"/>
  <drawing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F412-8E5A-49C1-AAFE-7CAF6C9CBB4C}">
  <sheetPr codeName="Sheet51"/>
  <dimension ref="A1:CJ281"/>
  <sheetViews>
    <sheetView workbookViewId="0">
      <pane xSplit="1" ySplit="10" topLeftCell="B68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H11" sqref="AH11:AI12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2080/06/27</v>
      </c>
      <c r="C4" s="201"/>
      <c r="D4" s="201"/>
      <c r="E4" s="202" t="str">
        <f ca="1">"2080/"&amp;"06/"&amp;INT(MID(CELL("filename",G6),FIND("]",CELL("filename",G6))+1,200))</f>
        <v>2080/06/27</v>
      </c>
      <c r="F4" s="202"/>
      <c r="G4" s="202"/>
      <c r="H4" s="202" t="str">
        <f ca="1">TEXT(E4,"dddd")</f>
        <v>Thursday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2090MW at 7:30hr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Load=862</v>
      </c>
      <c r="B7" s="35">
        <f t="shared" ref="B7:AF7" si="1">B91</f>
        <v>2085.1400000000003</v>
      </c>
      <c r="C7" s="35">
        <f t="shared" si="1"/>
        <v>2025.3400000000001</v>
      </c>
      <c r="D7" s="35">
        <f t="shared" si="1"/>
        <v>2004.84</v>
      </c>
      <c r="E7" s="35">
        <f t="shared" si="1"/>
        <v>2003.8400000000001</v>
      </c>
      <c r="F7" s="35">
        <f t="shared" si="1"/>
        <v>2004.64</v>
      </c>
      <c r="G7" s="35">
        <f t="shared" si="1"/>
        <v>2003.8400000000001</v>
      </c>
      <c r="H7" s="35">
        <f t="shared" si="1"/>
        <v>2013.64</v>
      </c>
      <c r="I7" s="35">
        <f t="shared" si="1"/>
        <v>2039.64</v>
      </c>
      <c r="J7" s="35">
        <f t="shared" si="1"/>
        <v>2031.64</v>
      </c>
      <c r="K7" s="35">
        <f t="shared" si="1"/>
        <v>2049.54</v>
      </c>
      <c r="L7" s="35">
        <f t="shared" si="1"/>
        <v>2089.6400000000003</v>
      </c>
      <c r="M7" s="35">
        <f t="shared" si="1"/>
        <v>2036.14</v>
      </c>
      <c r="N7" s="35">
        <f>N91</f>
        <v>2037.14</v>
      </c>
      <c r="O7" s="35">
        <f t="shared" si="1"/>
        <v>1955.2400000000002</v>
      </c>
      <c r="P7" s="35">
        <f t="shared" si="1"/>
        <v>861.84</v>
      </c>
      <c r="Q7" s="35">
        <f t="shared" si="1"/>
        <v>1923.7400000000002</v>
      </c>
      <c r="R7" s="35">
        <f t="shared" si="1"/>
        <v>1956.7400000000002</v>
      </c>
      <c r="S7" s="35">
        <f t="shared" si="1"/>
        <v>1904.04</v>
      </c>
      <c r="T7" s="35">
        <f t="shared" si="1"/>
        <v>1904.14</v>
      </c>
      <c r="U7" s="35">
        <f t="shared" si="1"/>
        <v>1904.14</v>
      </c>
      <c r="V7" s="35">
        <f t="shared" si="1"/>
        <v>1918.74</v>
      </c>
      <c r="W7" s="35">
        <f t="shared" si="1"/>
        <v>1916.44</v>
      </c>
      <c r="X7" s="35">
        <f t="shared" si="1"/>
        <v>2147.94</v>
      </c>
      <c r="Y7" s="35">
        <f t="shared" si="1"/>
        <v>2215.54</v>
      </c>
      <c r="Z7" s="35">
        <f t="shared" si="1"/>
        <v>2166.64</v>
      </c>
      <c r="AA7" s="35">
        <f t="shared" si="1"/>
        <v>2073.44</v>
      </c>
      <c r="AB7" s="35">
        <f t="shared" si="1"/>
        <v>2029.44</v>
      </c>
      <c r="AC7" s="35">
        <f t="shared" si="1"/>
        <v>2023.44</v>
      </c>
      <c r="AD7" s="35">
        <f t="shared" si="1"/>
        <v>2020.58</v>
      </c>
      <c r="AE7" s="35">
        <f t="shared" si="1"/>
        <v>1972.3799999999999</v>
      </c>
      <c r="AF7" s="35">
        <f t="shared" si="1"/>
        <v>1910.8799999999999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90.4</v>
      </c>
      <c r="C11" s="45">
        <v>90.4</v>
      </c>
      <c r="D11" s="45">
        <v>90.3</v>
      </c>
      <c r="E11" s="45">
        <v>90.3</v>
      </c>
      <c r="F11" s="45">
        <v>90.3</v>
      </c>
      <c r="G11" s="45">
        <v>90.3</v>
      </c>
      <c r="H11" s="45">
        <v>90.3</v>
      </c>
      <c r="I11" s="45">
        <v>90.3</v>
      </c>
      <c r="J11" s="45">
        <v>90.3</v>
      </c>
      <c r="K11" s="45">
        <v>90.3</v>
      </c>
      <c r="L11" s="45">
        <v>90.3</v>
      </c>
      <c r="M11" s="45">
        <v>90.3</v>
      </c>
      <c r="N11" s="45">
        <v>90.3</v>
      </c>
      <c r="O11" s="45">
        <v>90.3</v>
      </c>
      <c r="P11" s="45" t="s">
        <v>277</v>
      </c>
      <c r="Q11" s="45">
        <v>90.3</v>
      </c>
      <c r="R11" s="45">
        <v>90.3</v>
      </c>
      <c r="S11" s="45">
        <v>90.3</v>
      </c>
      <c r="T11" s="45">
        <v>90.4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>
        <v>90.4</v>
      </c>
      <c r="AB11" s="45">
        <v>90.4</v>
      </c>
      <c r="AC11" s="45">
        <v>90.4</v>
      </c>
      <c r="AD11" s="45">
        <v>90.4</v>
      </c>
      <c r="AE11" s="45">
        <v>90.4</v>
      </c>
      <c r="AF11" s="45">
        <v>90.4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90.3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13</v>
      </c>
      <c r="C12" s="45">
        <v>13</v>
      </c>
      <c r="D12" s="45">
        <v>8</v>
      </c>
      <c r="E12" s="45">
        <v>8</v>
      </c>
      <c r="F12" s="45">
        <v>8</v>
      </c>
      <c r="G12" s="45">
        <v>8</v>
      </c>
      <c r="H12" s="45">
        <v>8</v>
      </c>
      <c r="I12" s="45">
        <v>13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 t="s">
        <v>278</v>
      </c>
      <c r="Q12" s="45">
        <v>0</v>
      </c>
      <c r="R12" s="45">
        <v>8</v>
      </c>
      <c r="S12" s="45">
        <v>8</v>
      </c>
      <c r="T12" s="45">
        <v>8</v>
      </c>
      <c r="U12" s="45">
        <v>8</v>
      </c>
      <c r="V12" s="45">
        <v>8</v>
      </c>
      <c r="W12" s="45">
        <v>8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0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54.2</v>
      </c>
      <c r="C13" s="45">
        <v>54.2</v>
      </c>
      <c r="D13" s="45">
        <v>54.2</v>
      </c>
      <c r="E13" s="45">
        <v>54.2</v>
      </c>
      <c r="F13" s="45">
        <v>54.2</v>
      </c>
      <c r="G13" s="45">
        <v>54.2</v>
      </c>
      <c r="H13" s="45">
        <v>54.2</v>
      </c>
      <c r="I13" s="45">
        <v>54.2</v>
      </c>
      <c r="J13" s="45">
        <v>54.2</v>
      </c>
      <c r="K13" s="45">
        <v>54.2</v>
      </c>
      <c r="L13" s="45">
        <v>54.2</v>
      </c>
      <c r="M13" s="45">
        <v>54.2</v>
      </c>
      <c r="N13" s="45">
        <v>54.2</v>
      </c>
      <c r="O13" s="45">
        <v>54.2</v>
      </c>
      <c r="P13" s="45" t="s">
        <v>277</v>
      </c>
      <c r="Q13" s="45">
        <v>54.2</v>
      </c>
      <c r="R13" s="45">
        <v>54.2</v>
      </c>
      <c r="S13" s="45">
        <v>54</v>
      </c>
      <c r="T13" s="45">
        <v>54.1</v>
      </c>
      <c r="U13" s="45">
        <v>54.1</v>
      </c>
      <c r="V13" s="45">
        <v>54.1</v>
      </c>
      <c r="W13" s="45">
        <v>54.1</v>
      </c>
      <c r="X13" s="45">
        <v>54.1</v>
      </c>
      <c r="Y13" s="45">
        <v>54.1</v>
      </c>
      <c r="Z13" s="45">
        <v>54.1</v>
      </c>
      <c r="AA13" s="45">
        <v>54.1</v>
      </c>
      <c r="AB13" s="45">
        <v>54.1</v>
      </c>
      <c r="AC13" s="45">
        <v>54.1</v>
      </c>
      <c r="AD13" s="45">
        <v>54.1</v>
      </c>
      <c r="AE13" s="45">
        <v>54.1</v>
      </c>
      <c r="AF13" s="45">
        <v>54.1</v>
      </c>
      <c r="AG13" s="46">
        <v>52.4</v>
      </c>
      <c r="AH13" s="47">
        <f t="shared" si="2"/>
        <v>54.2</v>
      </c>
      <c r="AI13" s="48">
        <f t="shared" si="3"/>
        <v>54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50.8</v>
      </c>
      <c r="D14" s="58">
        <v>50.7</v>
      </c>
      <c r="E14" s="58">
        <v>50.7</v>
      </c>
      <c r="F14" s="58">
        <v>50.7</v>
      </c>
      <c r="G14" s="58">
        <v>50.7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50.7</v>
      </c>
      <c r="N14" s="58">
        <v>50.7</v>
      </c>
      <c r="O14" s="58">
        <v>50.7</v>
      </c>
      <c r="P14" s="58" t="s">
        <v>275</v>
      </c>
      <c r="Q14" s="58">
        <v>50.7</v>
      </c>
      <c r="R14" s="58">
        <v>50.7</v>
      </c>
      <c r="S14" s="58">
        <v>50.7</v>
      </c>
      <c r="T14" s="58">
        <v>50.7</v>
      </c>
      <c r="U14" s="58">
        <v>50.7</v>
      </c>
      <c r="V14" s="58">
        <v>50.7</v>
      </c>
      <c r="W14" s="58">
        <v>50.7</v>
      </c>
      <c r="X14" s="58">
        <v>50.7</v>
      </c>
      <c r="Y14" s="58">
        <v>50.7</v>
      </c>
      <c r="Z14" s="58">
        <v>50.7</v>
      </c>
      <c r="AA14" s="58">
        <v>50.7</v>
      </c>
      <c r="AB14" s="58">
        <v>50.7</v>
      </c>
      <c r="AC14" s="58">
        <v>50.7</v>
      </c>
      <c r="AD14" s="58">
        <v>50.7</v>
      </c>
      <c r="AE14" s="58">
        <v>50.7</v>
      </c>
      <c r="AF14" s="58">
        <v>50.7</v>
      </c>
      <c r="AG14" s="49">
        <v>50</v>
      </c>
      <c r="AH14" s="47">
        <f t="shared" si="2"/>
        <v>50.8</v>
      </c>
      <c r="AI14" s="48">
        <f t="shared" si="3"/>
        <v>50.7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46.4</v>
      </c>
      <c r="C15" s="45">
        <v>46.4</v>
      </c>
      <c r="D15" s="45">
        <v>46.4</v>
      </c>
      <c r="E15" s="45">
        <v>46.4</v>
      </c>
      <c r="F15" s="45">
        <v>46.4</v>
      </c>
      <c r="G15" s="45">
        <v>46.4</v>
      </c>
      <c r="H15" s="45">
        <v>46.4</v>
      </c>
      <c r="I15" s="45">
        <v>46.4</v>
      </c>
      <c r="J15" s="45">
        <v>46.4</v>
      </c>
      <c r="K15" s="45">
        <v>46.4</v>
      </c>
      <c r="L15" s="45">
        <v>46.4</v>
      </c>
      <c r="M15" s="45">
        <v>46.4</v>
      </c>
      <c r="N15" s="45">
        <v>46.4</v>
      </c>
      <c r="O15" s="45">
        <v>46.4</v>
      </c>
      <c r="P15" s="45" t="s">
        <v>279</v>
      </c>
      <c r="Q15" s="45">
        <v>46.4</v>
      </c>
      <c r="R15" s="45">
        <v>46.4</v>
      </c>
      <c r="S15" s="45">
        <v>46.3</v>
      </c>
      <c r="T15" s="45">
        <v>46.3</v>
      </c>
      <c r="U15" s="45">
        <v>46.3</v>
      </c>
      <c r="V15" s="45">
        <v>46.3</v>
      </c>
      <c r="W15" s="45">
        <v>46.4</v>
      </c>
      <c r="X15" s="45">
        <v>46.4</v>
      </c>
      <c r="Y15" s="45">
        <v>46.4</v>
      </c>
      <c r="Z15" s="45">
        <v>46.4</v>
      </c>
      <c r="AA15" s="45">
        <v>46.4</v>
      </c>
      <c r="AB15" s="45">
        <v>46.4</v>
      </c>
      <c r="AC15" s="45">
        <v>46.4</v>
      </c>
      <c r="AD15" s="45">
        <v>46.4</v>
      </c>
      <c r="AE15" s="45">
        <v>37</v>
      </c>
      <c r="AF15" s="45">
        <v>37</v>
      </c>
      <c r="AG15" s="49">
        <v>45</v>
      </c>
      <c r="AH15" s="47">
        <f t="shared" si="2"/>
        <v>46.4</v>
      </c>
      <c r="AI15" s="48">
        <f t="shared" si="3"/>
        <v>37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 t="s">
        <v>280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36</v>
      </c>
      <c r="C17" s="45">
        <v>36</v>
      </c>
      <c r="D17" s="45">
        <v>33</v>
      </c>
      <c r="E17" s="45">
        <v>33</v>
      </c>
      <c r="F17" s="45">
        <v>33</v>
      </c>
      <c r="G17" s="45">
        <v>33</v>
      </c>
      <c r="H17" s="45">
        <v>33</v>
      </c>
      <c r="I17" s="45">
        <v>33</v>
      </c>
      <c r="J17" s="45">
        <v>33</v>
      </c>
      <c r="K17" s="45">
        <v>33</v>
      </c>
      <c r="L17" s="45">
        <v>33</v>
      </c>
      <c r="M17" s="45">
        <v>28</v>
      </c>
      <c r="N17" s="45">
        <v>28</v>
      </c>
      <c r="O17" s="45">
        <v>28</v>
      </c>
      <c r="P17" s="45" t="s">
        <v>308</v>
      </c>
      <c r="Q17" s="45">
        <v>28</v>
      </c>
      <c r="R17" s="45">
        <v>28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29</v>
      </c>
      <c r="Y17" s="45">
        <v>41</v>
      </c>
      <c r="Z17" s="45">
        <v>41</v>
      </c>
      <c r="AA17" s="45">
        <v>37</v>
      </c>
      <c r="AB17" s="45">
        <v>37</v>
      </c>
      <c r="AC17" s="45">
        <v>37</v>
      </c>
      <c r="AD17" s="45">
        <v>33</v>
      </c>
      <c r="AE17" s="45">
        <v>30</v>
      </c>
      <c r="AF17" s="45">
        <v>30</v>
      </c>
      <c r="AG17" s="49">
        <v>42</v>
      </c>
      <c r="AH17" s="47">
        <f t="shared" si="2"/>
        <v>41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38</v>
      </c>
      <c r="C18" s="45">
        <v>38</v>
      </c>
      <c r="D18" s="45">
        <v>38</v>
      </c>
      <c r="E18" s="45">
        <v>38</v>
      </c>
      <c r="F18" s="45">
        <v>38</v>
      </c>
      <c r="G18" s="45">
        <v>38</v>
      </c>
      <c r="H18" s="45">
        <v>38</v>
      </c>
      <c r="I18" s="45">
        <v>38</v>
      </c>
      <c r="J18" s="45">
        <v>38</v>
      </c>
      <c r="K18" s="45">
        <v>38</v>
      </c>
      <c r="L18" s="45">
        <v>38</v>
      </c>
      <c r="M18" s="45">
        <v>38</v>
      </c>
      <c r="N18" s="45">
        <v>38</v>
      </c>
      <c r="O18" s="45">
        <v>38</v>
      </c>
      <c r="P18" s="45" t="s">
        <v>276</v>
      </c>
      <c r="Q18" s="45">
        <v>38</v>
      </c>
      <c r="R18" s="45">
        <v>38</v>
      </c>
      <c r="S18" s="45">
        <v>28</v>
      </c>
      <c r="T18" s="45">
        <v>28</v>
      </c>
      <c r="U18" s="45">
        <v>28</v>
      </c>
      <c r="V18" s="45">
        <v>28</v>
      </c>
      <c r="W18" s="45">
        <v>28</v>
      </c>
      <c r="X18" s="45">
        <v>28</v>
      </c>
      <c r="Y18" s="45">
        <v>28</v>
      </c>
      <c r="Z18" s="45">
        <v>28</v>
      </c>
      <c r="AA18" s="45">
        <v>28</v>
      </c>
      <c r="AB18" s="45">
        <v>28</v>
      </c>
      <c r="AC18" s="45">
        <v>28</v>
      </c>
      <c r="AD18" s="45">
        <v>28</v>
      </c>
      <c r="AE18" s="45">
        <v>28</v>
      </c>
      <c r="AF18" s="45">
        <v>28</v>
      </c>
      <c r="AG18" s="49">
        <v>38.46</v>
      </c>
      <c r="AH18" s="47">
        <f t="shared" si="2"/>
        <v>38</v>
      </c>
      <c r="AI18" s="48">
        <f t="shared" si="3"/>
        <v>28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 t="s">
        <v>277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0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9</v>
      </c>
      <c r="C20" s="45">
        <v>9</v>
      </c>
      <c r="D20" s="45">
        <v>5.6</v>
      </c>
      <c r="E20" s="45">
        <v>4.9000000000000004</v>
      </c>
      <c r="F20" s="45">
        <v>4.9000000000000004</v>
      </c>
      <c r="G20" s="45">
        <v>4.9000000000000004</v>
      </c>
      <c r="H20" s="45">
        <v>4.9000000000000004</v>
      </c>
      <c r="I20" s="45">
        <v>10</v>
      </c>
      <c r="J20" s="45">
        <v>10</v>
      </c>
      <c r="K20" s="45">
        <v>25</v>
      </c>
      <c r="L20" s="45">
        <v>30</v>
      </c>
      <c r="M20" s="45">
        <v>15</v>
      </c>
      <c r="N20" s="45">
        <v>15</v>
      </c>
      <c r="O20" s="45">
        <v>0</v>
      </c>
      <c r="P20" s="45" t="s">
        <v>275</v>
      </c>
      <c r="Q20" s="45">
        <v>5</v>
      </c>
      <c r="R20" s="45">
        <v>5</v>
      </c>
      <c r="S20" s="45">
        <v>5</v>
      </c>
      <c r="T20" s="45">
        <v>5</v>
      </c>
      <c r="U20" s="45">
        <v>5</v>
      </c>
      <c r="V20" s="45">
        <v>5</v>
      </c>
      <c r="W20" s="45">
        <v>5</v>
      </c>
      <c r="X20" s="45">
        <v>30</v>
      </c>
      <c r="Y20" s="45">
        <v>30</v>
      </c>
      <c r="Z20" s="45">
        <v>30</v>
      </c>
      <c r="AA20" s="45">
        <v>24</v>
      </c>
      <c r="AB20" s="45">
        <v>24</v>
      </c>
      <c r="AC20" s="45">
        <v>24</v>
      </c>
      <c r="AD20" s="45">
        <v>15</v>
      </c>
      <c r="AE20" s="45">
        <v>10</v>
      </c>
      <c r="AF20" s="45">
        <v>0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33.1</v>
      </c>
      <c r="C21" s="45">
        <v>33.1</v>
      </c>
      <c r="D21" s="45">
        <v>33.1</v>
      </c>
      <c r="E21" s="45">
        <v>33.1</v>
      </c>
      <c r="F21" s="45">
        <v>33.1</v>
      </c>
      <c r="G21" s="45">
        <v>33.1</v>
      </c>
      <c r="H21" s="45">
        <v>33.1</v>
      </c>
      <c r="I21" s="45">
        <v>33.1</v>
      </c>
      <c r="J21" s="45">
        <v>33.1</v>
      </c>
      <c r="K21" s="45">
        <v>33.1</v>
      </c>
      <c r="L21" s="45">
        <v>33.1</v>
      </c>
      <c r="M21" s="45">
        <v>33.1</v>
      </c>
      <c r="N21" s="45">
        <v>33.1</v>
      </c>
      <c r="O21" s="45">
        <v>33.1</v>
      </c>
      <c r="P21" s="45" t="s">
        <v>309</v>
      </c>
      <c r="Q21" s="45">
        <v>33.1</v>
      </c>
      <c r="R21" s="45">
        <v>33.1</v>
      </c>
      <c r="S21" s="45">
        <v>33.4</v>
      </c>
      <c r="T21" s="45">
        <v>33.4</v>
      </c>
      <c r="U21" s="45">
        <v>33.4</v>
      </c>
      <c r="V21" s="45">
        <v>33.4</v>
      </c>
      <c r="W21" s="45">
        <v>33.4</v>
      </c>
      <c r="X21" s="45">
        <v>33.4</v>
      </c>
      <c r="Y21" s="45">
        <v>33.4</v>
      </c>
      <c r="Z21" s="45">
        <v>33.4</v>
      </c>
      <c r="AA21" s="45">
        <v>33.4</v>
      </c>
      <c r="AB21" s="45">
        <v>33.4</v>
      </c>
      <c r="AC21" s="45">
        <v>33.4</v>
      </c>
      <c r="AD21" s="45">
        <v>33.4</v>
      </c>
      <c r="AE21" s="45">
        <v>33.4</v>
      </c>
      <c r="AF21" s="45">
        <v>33.4</v>
      </c>
      <c r="AG21" s="49">
        <v>24.2</v>
      </c>
      <c r="AH21" s="47">
        <f t="shared" si="2"/>
        <v>33.4</v>
      </c>
      <c r="AI21" s="48">
        <f t="shared" si="3"/>
        <v>33.1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>
        <v>28</v>
      </c>
      <c r="D22" s="45">
        <v>28</v>
      </c>
      <c r="E22" s="45">
        <v>28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 t="s">
        <v>274</v>
      </c>
      <c r="Q22" s="45">
        <v>28</v>
      </c>
      <c r="R22" s="45">
        <v>28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>
        <v>28</v>
      </c>
      <c r="AE22" s="45">
        <v>28</v>
      </c>
      <c r="AF22" s="45">
        <v>28</v>
      </c>
      <c r="AG22" s="49">
        <v>28</v>
      </c>
      <c r="AH22" s="47">
        <f t="shared" si="2"/>
        <v>28</v>
      </c>
      <c r="AI22" s="48">
        <f t="shared" si="3"/>
        <v>28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8.5</v>
      </c>
      <c r="C23" s="45">
        <v>8.5</v>
      </c>
      <c r="D23" s="45">
        <v>4.2</v>
      </c>
      <c r="E23" s="45">
        <v>4.2</v>
      </c>
      <c r="F23" s="45">
        <v>4.2</v>
      </c>
      <c r="G23" s="45">
        <v>4.2</v>
      </c>
      <c r="H23" s="45">
        <v>4.2</v>
      </c>
      <c r="I23" s="45">
        <v>9</v>
      </c>
      <c r="J23" s="45">
        <v>9</v>
      </c>
      <c r="K23" s="45">
        <v>22.5</v>
      </c>
      <c r="L23" s="45">
        <v>27</v>
      </c>
      <c r="M23" s="45">
        <v>10</v>
      </c>
      <c r="N23" s="45">
        <v>13</v>
      </c>
      <c r="O23" s="45">
        <v>0</v>
      </c>
      <c r="P23" s="45" t="s">
        <v>287</v>
      </c>
      <c r="Q23" s="45">
        <v>3</v>
      </c>
      <c r="R23" s="45">
        <v>3</v>
      </c>
      <c r="S23" s="45">
        <v>4.7</v>
      </c>
      <c r="T23" s="45">
        <v>4.7</v>
      </c>
      <c r="U23" s="45">
        <v>4.7</v>
      </c>
      <c r="V23" s="45">
        <v>4.7</v>
      </c>
      <c r="W23" s="45">
        <v>4.7</v>
      </c>
      <c r="X23" s="45">
        <v>25</v>
      </c>
      <c r="Y23" s="45">
        <v>27</v>
      </c>
      <c r="Z23" s="45">
        <v>27</v>
      </c>
      <c r="AA23" s="45">
        <f>0.8*27</f>
        <v>21.6</v>
      </c>
      <c r="AB23" s="45">
        <f>0.8*27</f>
        <v>21.6</v>
      </c>
      <c r="AC23" s="45">
        <f>0.8*27</f>
        <v>21.6</v>
      </c>
      <c r="AD23" s="45">
        <v>15.8</v>
      </c>
      <c r="AE23" s="45">
        <v>10</v>
      </c>
      <c r="AF23" s="45">
        <v>0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24.6</v>
      </c>
      <c r="C24" s="45">
        <v>24.6</v>
      </c>
      <c r="D24" s="45">
        <v>24.6</v>
      </c>
      <c r="E24" s="45">
        <v>24.6</v>
      </c>
      <c r="F24" s="45">
        <v>24.6</v>
      </c>
      <c r="G24" s="45">
        <v>24.6</v>
      </c>
      <c r="H24" s="45">
        <v>24.6</v>
      </c>
      <c r="I24" s="45">
        <v>24.6</v>
      </c>
      <c r="J24" s="45">
        <v>24.6</v>
      </c>
      <c r="K24" s="45">
        <v>24.6</v>
      </c>
      <c r="L24" s="45">
        <v>24.6</v>
      </c>
      <c r="M24" s="45">
        <v>24.6</v>
      </c>
      <c r="N24" s="45">
        <v>24.6</v>
      </c>
      <c r="O24" s="45">
        <v>24.6</v>
      </c>
      <c r="P24" s="45"/>
      <c r="Q24" s="45">
        <v>24.6</v>
      </c>
      <c r="R24" s="45">
        <v>24.6</v>
      </c>
      <c r="S24" s="45">
        <v>24.5</v>
      </c>
      <c r="T24" s="45">
        <v>24.5</v>
      </c>
      <c r="U24" s="45">
        <v>24.5</v>
      </c>
      <c r="V24" s="45">
        <v>24.5</v>
      </c>
      <c r="W24" s="45">
        <v>24.5</v>
      </c>
      <c r="X24" s="45">
        <v>24.5</v>
      </c>
      <c r="Y24" s="45">
        <v>24.5</v>
      </c>
      <c r="Z24" s="45">
        <v>24.5</v>
      </c>
      <c r="AA24" s="45">
        <v>24.5</v>
      </c>
      <c r="AB24" s="45">
        <v>24.5</v>
      </c>
      <c r="AC24" s="45">
        <v>24.5</v>
      </c>
      <c r="AD24" s="45">
        <v>24.5</v>
      </c>
      <c r="AE24" s="45">
        <v>24.5</v>
      </c>
      <c r="AF24" s="45">
        <v>24.5</v>
      </c>
      <c r="AG24" s="49">
        <v>25</v>
      </c>
      <c r="AH24" s="47">
        <f t="shared" si="2"/>
        <v>24.6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/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0</v>
      </c>
      <c r="C26" s="45">
        <v>0</v>
      </c>
      <c r="D26" s="45">
        <v>0</v>
      </c>
      <c r="E26" s="45">
        <v>0</v>
      </c>
      <c r="F26" s="45">
        <v>0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/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7.5</v>
      </c>
      <c r="C27" s="45">
        <v>7.5</v>
      </c>
      <c r="D27" s="45">
        <v>4</v>
      </c>
      <c r="E27" s="45">
        <v>4</v>
      </c>
      <c r="F27" s="45">
        <v>4</v>
      </c>
      <c r="G27" s="45">
        <v>4</v>
      </c>
      <c r="H27" s="45">
        <v>4</v>
      </c>
      <c r="I27" s="45">
        <v>8.5</v>
      </c>
      <c r="J27" s="45">
        <v>8.5</v>
      </c>
      <c r="K27" s="45">
        <v>21</v>
      </c>
      <c r="L27" s="45">
        <v>25</v>
      </c>
      <c r="M27" s="45">
        <v>25</v>
      </c>
      <c r="N27" s="45">
        <v>25</v>
      </c>
      <c r="O27" s="45">
        <v>25</v>
      </c>
      <c r="P27" s="45"/>
      <c r="Q27" s="45">
        <v>3.5</v>
      </c>
      <c r="R27" s="45">
        <v>3.5</v>
      </c>
      <c r="S27" s="45">
        <v>3.5</v>
      </c>
      <c r="T27" s="45">
        <v>3.5</v>
      </c>
      <c r="U27" s="45">
        <v>3.5</v>
      </c>
      <c r="V27" s="45">
        <v>3.5</v>
      </c>
      <c r="W27" s="45">
        <v>3.5</v>
      </c>
      <c r="X27" s="45">
        <v>22</v>
      </c>
      <c r="Y27" s="45">
        <v>25</v>
      </c>
      <c r="Z27" s="45">
        <v>25</v>
      </c>
      <c r="AA27" s="45">
        <f>0.8*25</f>
        <v>20</v>
      </c>
      <c r="AB27" s="45">
        <f>0.8*25</f>
        <v>20</v>
      </c>
      <c r="AC27" s="45">
        <f>0.8*25</f>
        <v>20</v>
      </c>
      <c r="AD27" s="45">
        <v>12.5</v>
      </c>
      <c r="AE27" s="45">
        <v>12.5</v>
      </c>
      <c r="AF27" s="45">
        <v>0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25.3</v>
      </c>
      <c r="C28" s="45">
        <v>25.3</v>
      </c>
      <c r="D28" s="45">
        <v>25.1</v>
      </c>
      <c r="E28" s="45">
        <v>25.1</v>
      </c>
      <c r="F28" s="45">
        <v>25.1</v>
      </c>
      <c r="G28" s="45">
        <v>25.1</v>
      </c>
      <c r="H28" s="45">
        <v>25.1</v>
      </c>
      <c r="I28" s="45">
        <v>25.1</v>
      </c>
      <c r="J28" s="45">
        <v>25.1</v>
      </c>
      <c r="K28" s="45">
        <v>25.1</v>
      </c>
      <c r="L28" s="45">
        <v>25.1</v>
      </c>
      <c r="M28" s="45">
        <v>25.1</v>
      </c>
      <c r="N28" s="45">
        <v>25.1</v>
      </c>
      <c r="O28" s="45">
        <v>25.1</v>
      </c>
      <c r="P28" s="45"/>
      <c r="Q28" s="45">
        <v>25.1</v>
      </c>
      <c r="R28" s="45">
        <v>25.1</v>
      </c>
      <c r="S28" s="45">
        <v>25.1</v>
      </c>
      <c r="T28" s="45">
        <v>25.1</v>
      </c>
      <c r="U28" s="45">
        <v>25.1</v>
      </c>
      <c r="V28" s="45">
        <v>25.1</v>
      </c>
      <c r="W28" s="45">
        <v>25.1</v>
      </c>
      <c r="X28" s="45">
        <v>25.1</v>
      </c>
      <c r="Y28" s="45">
        <v>25.1</v>
      </c>
      <c r="Z28" s="45">
        <v>25.1</v>
      </c>
      <c r="AA28" s="45">
        <v>25.1</v>
      </c>
      <c r="AB28" s="45">
        <v>25.2</v>
      </c>
      <c r="AC28" s="45">
        <v>25.2</v>
      </c>
      <c r="AD28" s="45">
        <v>25.2</v>
      </c>
      <c r="AE28" s="45">
        <v>25.2</v>
      </c>
      <c r="AF28" s="45">
        <v>25.2</v>
      </c>
      <c r="AG28" s="49">
        <v>23.5</v>
      </c>
      <c r="AH28" s="47">
        <f t="shared" si="2"/>
        <v>25.3</v>
      </c>
      <c r="AI28" s="48">
        <f t="shared" si="3"/>
        <v>25.1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/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/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/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/>
      <c r="Q32" s="45">
        <v>22</v>
      </c>
      <c r="R32" s="45">
        <v>22</v>
      </c>
      <c r="S32" s="45">
        <v>0</v>
      </c>
      <c r="T32" s="45">
        <v>0</v>
      </c>
      <c r="U32" s="45">
        <v>0</v>
      </c>
      <c r="V32" s="45">
        <v>0</v>
      </c>
      <c r="W32" s="45">
        <v>0</v>
      </c>
      <c r="X32" s="45">
        <v>0</v>
      </c>
      <c r="Y32" s="45">
        <v>0</v>
      </c>
      <c r="Z32" s="45">
        <v>0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15</v>
      </c>
      <c r="C33" s="45">
        <v>15</v>
      </c>
      <c r="D33" s="45">
        <v>10</v>
      </c>
      <c r="E33" s="45">
        <v>10</v>
      </c>
      <c r="F33" s="45">
        <v>10</v>
      </c>
      <c r="G33" s="45">
        <v>10</v>
      </c>
      <c r="H33" s="45">
        <v>10</v>
      </c>
      <c r="I33" s="45">
        <v>15</v>
      </c>
      <c r="J33" s="45">
        <v>15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/>
      <c r="Q33" s="45">
        <v>0</v>
      </c>
      <c r="R33" s="45">
        <v>0</v>
      </c>
      <c r="S33" s="45">
        <v>0</v>
      </c>
      <c r="T33" s="45">
        <v>5</v>
      </c>
      <c r="U33" s="45">
        <v>5</v>
      </c>
      <c r="V33" s="45">
        <v>5</v>
      </c>
      <c r="W33" s="45">
        <v>5</v>
      </c>
      <c r="X33" s="45">
        <v>15</v>
      </c>
      <c r="Y33" s="45">
        <v>20</v>
      </c>
      <c r="Z33" s="45">
        <v>20</v>
      </c>
      <c r="AA33" s="45">
        <v>20</v>
      </c>
      <c r="AB33" s="45">
        <v>20</v>
      </c>
      <c r="AC33" s="45">
        <v>20</v>
      </c>
      <c r="AD33" s="45">
        <v>20</v>
      </c>
      <c r="AE33" s="45">
        <v>15</v>
      </c>
      <c r="AF33" s="45">
        <v>5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9</v>
      </c>
      <c r="C34" s="45">
        <v>9</v>
      </c>
      <c r="D34" s="45">
        <v>9</v>
      </c>
      <c r="E34" s="45">
        <v>9</v>
      </c>
      <c r="F34" s="45">
        <v>9</v>
      </c>
      <c r="G34" s="45">
        <v>9</v>
      </c>
      <c r="H34" s="45">
        <v>9</v>
      </c>
      <c r="I34" s="45">
        <v>9</v>
      </c>
      <c r="J34" s="45">
        <v>9</v>
      </c>
      <c r="K34" s="45">
        <v>9</v>
      </c>
      <c r="L34" s="45">
        <v>9</v>
      </c>
      <c r="M34" s="45">
        <v>4</v>
      </c>
      <c r="N34" s="45">
        <v>4</v>
      </c>
      <c r="O34" s="45">
        <v>0</v>
      </c>
      <c r="P34" s="45"/>
      <c r="Q34" s="45">
        <v>0</v>
      </c>
      <c r="R34" s="45">
        <v>0</v>
      </c>
      <c r="S34" s="45">
        <v>0</v>
      </c>
      <c r="T34" s="45">
        <v>0</v>
      </c>
      <c r="U34" s="45">
        <v>0</v>
      </c>
      <c r="V34" s="45">
        <v>0</v>
      </c>
      <c r="W34" s="45">
        <v>0</v>
      </c>
      <c r="X34" s="45">
        <v>0</v>
      </c>
      <c r="Y34" s="45">
        <v>0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9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15</v>
      </c>
      <c r="C35" s="45">
        <v>15</v>
      </c>
      <c r="D35" s="45">
        <v>15</v>
      </c>
      <c r="E35" s="45">
        <v>15</v>
      </c>
      <c r="F35" s="45">
        <v>15</v>
      </c>
      <c r="G35" s="45">
        <v>15</v>
      </c>
      <c r="H35" s="45">
        <v>15</v>
      </c>
      <c r="I35" s="45">
        <v>15</v>
      </c>
      <c r="J35" s="45">
        <v>15</v>
      </c>
      <c r="K35" s="45">
        <v>15</v>
      </c>
      <c r="L35" s="45">
        <v>15</v>
      </c>
      <c r="M35" s="45">
        <v>15</v>
      </c>
      <c r="N35" s="45">
        <v>15</v>
      </c>
      <c r="O35" s="45">
        <v>15</v>
      </c>
      <c r="P35" s="45"/>
      <c r="Q35" s="45">
        <v>15</v>
      </c>
      <c r="R35" s="45">
        <v>15</v>
      </c>
      <c r="S35" s="45">
        <v>13</v>
      </c>
      <c r="T35" s="45">
        <v>13</v>
      </c>
      <c r="U35" s="45">
        <v>13</v>
      </c>
      <c r="V35" s="45">
        <v>13</v>
      </c>
      <c r="W35" s="45">
        <v>13</v>
      </c>
      <c r="X35" s="45">
        <v>13</v>
      </c>
      <c r="Y35" s="45">
        <v>13</v>
      </c>
      <c r="Z35" s="45">
        <v>13</v>
      </c>
      <c r="AA35" s="45">
        <v>13</v>
      </c>
      <c r="AB35" s="45">
        <v>13</v>
      </c>
      <c r="AC35" s="45">
        <v>13</v>
      </c>
      <c r="AD35" s="45">
        <v>13</v>
      </c>
      <c r="AE35" s="45">
        <v>13</v>
      </c>
      <c r="AF35" s="45">
        <v>13</v>
      </c>
      <c r="AG35" s="49">
        <v>14.9</v>
      </c>
      <c r="AH35" s="47">
        <f t="shared" si="2"/>
        <v>15</v>
      </c>
      <c r="AI35" s="48">
        <f t="shared" si="3"/>
        <v>13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/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/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6</v>
      </c>
      <c r="N38" s="45">
        <v>4</v>
      </c>
      <c r="O38" s="45">
        <v>0</v>
      </c>
      <c r="P38" s="45"/>
      <c r="Q38" s="45">
        <v>0</v>
      </c>
      <c r="R38" s="45">
        <v>0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0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3.6</v>
      </c>
      <c r="C39" s="45">
        <v>3.6</v>
      </c>
      <c r="D39" s="45">
        <v>3</v>
      </c>
      <c r="E39" s="45">
        <v>2</v>
      </c>
      <c r="F39" s="45">
        <v>2</v>
      </c>
      <c r="G39" s="45">
        <v>2</v>
      </c>
      <c r="H39" s="45">
        <v>2</v>
      </c>
      <c r="I39" s="45">
        <v>4</v>
      </c>
      <c r="J39" s="45">
        <v>4</v>
      </c>
      <c r="K39" s="45">
        <v>10</v>
      </c>
      <c r="L39" s="45">
        <v>12</v>
      </c>
      <c r="M39" s="45">
        <v>12</v>
      </c>
      <c r="N39" s="45">
        <v>12</v>
      </c>
      <c r="O39" s="45">
        <v>12</v>
      </c>
      <c r="P39" s="45"/>
      <c r="Q39" s="45">
        <v>2</v>
      </c>
      <c r="R39" s="45">
        <v>2</v>
      </c>
      <c r="S39" s="45">
        <v>2</v>
      </c>
      <c r="T39" s="45">
        <v>2</v>
      </c>
      <c r="U39" s="45">
        <v>2</v>
      </c>
      <c r="V39" s="45">
        <v>2</v>
      </c>
      <c r="W39" s="45">
        <v>2</v>
      </c>
      <c r="X39" s="45">
        <v>11</v>
      </c>
      <c r="Y39" s="45">
        <v>12</v>
      </c>
      <c r="Z39" s="45">
        <v>12</v>
      </c>
      <c r="AA39" s="45">
        <v>9.6</v>
      </c>
      <c r="AB39" s="45">
        <v>9.6</v>
      </c>
      <c r="AC39" s="45">
        <v>9.6</v>
      </c>
      <c r="AD39" s="45">
        <v>6</v>
      </c>
      <c r="AE39" s="45">
        <v>6</v>
      </c>
      <c r="AF39" s="45">
        <v>0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/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/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/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/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/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0</v>
      </c>
      <c r="L45" s="45">
        <v>4.5</v>
      </c>
      <c r="M45" s="45">
        <v>4.5</v>
      </c>
      <c r="N45" s="45">
        <v>4.5</v>
      </c>
      <c r="O45" s="45">
        <v>4.5</v>
      </c>
      <c r="P45" s="45"/>
      <c r="Q45" s="45">
        <v>4.5</v>
      </c>
      <c r="R45" s="45">
        <v>4.5</v>
      </c>
      <c r="S45" s="45">
        <v>8</v>
      </c>
      <c r="T45" s="45">
        <v>8</v>
      </c>
      <c r="U45" s="45">
        <v>8</v>
      </c>
      <c r="V45" s="45">
        <v>8</v>
      </c>
      <c r="W45" s="45">
        <v>8</v>
      </c>
      <c r="X45" s="45">
        <v>8</v>
      </c>
      <c r="Y45" s="45">
        <v>8.5</v>
      </c>
      <c r="Z45" s="45">
        <v>8.5</v>
      </c>
      <c r="AA45" s="45">
        <v>8.5</v>
      </c>
      <c r="AB45" s="45">
        <v>8.5</v>
      </c>
      <c r="AC45" s="45">
        <v>8.5</v>
      </c>
      <c r="AD45" s="45">
        <v>8.5</v>
      </c>
      <c r="AE45" s="45">
        <v>8.5</v>
      </c>
      <c r="AF45" s="45">
        <v>8.5</v>
      </c>
      <c r="AG45" s="54">
        <v>10</v>
      </c>
      <c r="AH45" s="47">
        <f t="shared" si="2"/>
        <v>10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10</v>
      </c>
      <c r="N46" s="45">
        <v>10</v>
      </c>
      <c r="O46" s="45">
        <v>10</v>
      </c>
      <c r="P46" s="45"/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10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/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/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f>35.7+92.2</f>
        <v>127.9</v>
      </c>
      <c r="C49" s="56">
        <f>35.7+92.3</f>
        <v>128</v>
      </c>
      <c r="D49" s="56">
        <f>35.7+92.3</f>
        <v>128</v>
      </c>
      <c r="E49" s="58">
        <f>35.7+92.3</f>
        <v>128</v>
      </c>
      <c r="F49" s="58">
        <f>35.7+92.1</f>
        <v>127.8</v>
      </c>
      <c r="G49" s="58">
        <f>35.1+91.5</f>
        <v>126.6</v>
      </c>
      <c r="H49" s="58">
        <f>35.2+91.2</f>
        <v>126.4</v>
      </c>
      <c r="I49" s="58">
        <f>35.2+91.2</f>
        <v>126.4</v>
      </c>
      <c r="J49" s="58">
        <f>35.2+90.8</f>
        <v>126</v>
      </c>
      <c r="K49" s="58">
        <f>35.2+90.8</f>
        <v>126</v>
      </c>
      <c r="L49" s="58">
        <f>35.2+90.8</f>
        <v>126</v>
      </c>
      <c r="M49" s="58">
        <f>35.2+90.8</f>
        <v>126</v>
      </c>
      <c r="N49" s="58">
        <f t="shared" ref="N49:R49" si="4">35.2+90.8</f>
        <v>126</v>
      </c>
      <c r="O49" s="58">
        <f t="shared" si="4"/>
        <v>126</v>
      </c>
      <c r="P49" s="58"/>
      <c r="Q49" s="58">
        <f t="shared" si="4"/>
        <v>126</v>
      </c>
      <c r="R49" s="58">
        <f t="shared" si="4"/>
        <v>126</v>
      </c>
      <c r="S49" s="58">
        <f>74+29.2</f>
        <v>103.2</v>
      </c>
      <c r="T49" s="58">
        <f>88.4+34</f>
        <v>122.4</v>
      </c>
      <c r="U49" s="58">
        <v>122</v>
      </c>
      <c r="V49" s="58">
        <f>84+28.1</f>
        <v>112.1</v>
      </c>
      <c r="W49" s="58">
        <f>87.5+32.1</f>
        <v>119.6</v>
      </c>
      <c r="X49" s="56">
        <f>84.2+30.3</f>
        <v>114.5</v>
      </c>
      <c r="Y49" s="56">
        <v>114.9</v>
      </c>
      <c r="Z49" s="56">
        <f>86.9+32.7</f>
        <v>119.60000000000001</v>
      </c>
      <c r="AA49" s="56">
        <f>85.4+30.8</f>
        <v>116.2</v>
      </c>
      <c r="AB49" s="56">
        <f>85.4+30.8</f>
        <v>116.2</v>
      </c>
      <c r="AC49" s="56">
        <f>32.9+87.4</f>
        <v>120.30000000000001</v>
      </c>
      <c r="AD49" s="56">
        <f>32.9+87.4</f>
        <v>120.30000000000001</v>
      </c>
      <c r="AE49" s="56">
        <f>32.9+87.4</f>
        <v>120.30000000000001</v>
      </c>
      <c r="AF49" s="56">
        <v>124</v>
      </c>
      <c r="AG49" s="54">
        <v>240</v>
      </c>
      <c r="AH49" s="47">
        <f t="shared" si="2"/>
        <v>128</v>
      </c>
      <c r="AI49" s="48">
        <f t="shared" si="3"/>
        <v>103.2</v>
      </c>
      <c r="AK49" s="50"/>
    </row>
    <row r="50" spans="1:41" ht="15.75" thickBot="1" x14ac:dyDescent="0.3">
      <c r="A50" s="59" t="s">
        <v>58</v>
      </c>
      <c r="B50" s="60">
        <f t="shared" ref="B50:C50" si="5">SUM(B11:B48)</f>
        <v>1124.8000000000002</v>
      </c>
      <c r="C50" s="60">
        <f t="shared" si="5"/>
        <v>1124.9000000000001</v>
      </c>
      <c r="D50" s="60">
        <f t="shared" ref="D50" si="6">SUM(D11:D48)</f>
        <v>1099.7</v>
      </c>
      <c r="E50" s="60">
        <f t="shared" ref="E50:AF50" si="7">SUM(E11:E48)</f>
        <v>1098</v>
      </c>
      <c r="F50" s="60">
        <f t="shared" si="7"/>
        <v>1098</v>
      </c>
      <c r="G50" s="60">
        <f t="shared" si="7"/>
        <v>1098</v>
      </c>
      <c r="H50" s="60">
        <f t="shared" si="7"/>
        <v>1098</v>
      </c>
      <c r="I50" s="60">
        <f t="shared" si="7"/>
        <v>1124.4000000000001</v>
      </c>
      <c r="J50" s="60">
        <f t="shared" si="7"/>
        <v>1124.4000000000001</v>
      </c>
      <c r="K50" s="60">
        <f t="shared" si="7"/>
        <v>1146.4000000000001</v>
      </c>
      <c r="L50" s="60">
        <f t="shared" si="7"/>
        <v>1166.4000000000001</v>
      </c>
      <c r="M50" s="60">
        <f t="shared" si="7"/>
        <v>1118.4000000000001</v>
      </c>
      <c r="N50" s="60">
        <f t="shared" si="7"/>
        <v>1119.4000000000001</v>
      </c>
      <c r="O50" s="60">
        <f t="shared" si="7"/>
        <v>1083.4000000000001</v>
      </c>
      <c r="P50" s="60">
        <f t="shared" si="7"/>
        <v>0</v>
      </c>
      <c r="Q50" s="60">
        <f t="shared" si="7"/>
        <v>1046.9000000000001</v>
      </c>
      <c r="R50" s="60">
        <f t="shared" si="7"/>
        <v>1054.9000000000001</v>
      </c>
      <c r="S50" s="60">
        <f t="shared" si="7"/>
        <v>1039</v>
      </c>
      <c r="T50" s="60">
        <f t="shared" ref="T50" si="8">SUM(T11:T48)</f>
        <v>1044.2</v>
      </c>
      <c r="U50" s="60">
        <f t="shared" si="7"/>
        <v>1044.2</v>
      </c>
      <c r="V50" s="60">
        <f t="shared" si="7"/>
        <v>1044.2</v>
      </c>
      <c r="W50" s="60">
        <f t="shared" si="7"/>
        <v>1044.3</v>
      </c>
      <c r="X50" s="60">
        <f t="shared" si="7"/>
        <v>1108.0999999999999</v>
      </c>
      <c r="Y50" s="60">
        <f t="shared" si="7"/>
        <v>1155.5999999999999</v>
      </c>
      <c r="Z50" s="60">
        <f t="shared" si="7"/>
        <v>1155.5999999999999</v>
      </c>
      <c r="AA50" s="60">
        <f t="shared" si="7"/>
        <v>1154.8000000000002</v>
      </c>
      <c r="AB50" s="60">
        <f t="shared" si="7"/>
        <v>1154.9000000000001</v>
      </c>
      <c r="AC50" s="60">
        <f t="shared" si="7"/>
        <v>1154.9000000000001</v>
      </c>
      <c r="AD50" s="60">
        <f t="shared" si="7"/>
        <v>1150</v>
      </c>
      <c r="AE50" s="60">
        <f t="shared" si="7"/>
        <v>1121.8</v>
      </c>
      <c r="AF50" s="60">
        <f t="shared" si="7"/>
        <v>1060.3</v>
      </c>
      <c r="AG50" s="61">
        <f>SUM(AG13:AG48)</f>
        <v>922.14</v>
      </c>
      <c r="AH50" s="47">
        <f t="shared" si="2"/>
        <v>1166.4000000000001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456</v>
      </c>
      <c r="C51" s="45">
        <v>400</v>
      </c>
      <c r="D51" s="45">
        <v>400</v>
      </c>
      <c r="E51" s="45">
        <v>400</v>
      </c>
      <c r="F51" s="45">
        <v>400</v>
      </c>
      <c r="G51" s="45">
        <v>400</v>
      </c>
      <c r="H51" s="45">
        <v>400</v>
      </c>
      <c r="I51" s="45">
        <v>400</v>
      </c>
      <c r="J51" s="45">
        <v>400</v>
      </c>
      <c r="K51" s="45">
        <v>400</v>
      </c>
      <c r="L51" s="45">
        <v>400</v>
      </c>
      <c r="M51" s="45">
        <v>400</v>
      </c>
      <c r="N51" s="45">
        <v>400</v>
      </c>
      <c r="O51" s="45">
        <v>400</v>
      </c>
      <c r="P51" s="45">
        <v>400</v>
      </c>
      <c r="Q51" s="45">
        <v>400</v>
      </c>
      <c r="R51" s="45">
        <v>400</v>
      </c>
      <c r="S51" s="45">
        <v>380</v>
      </c>
      <c r="T51" s="45">
        <v>380</v>
      </c>
      <c r="U51" s="45">
        <v>380</v>
      </c>
      <c r="V51" s="45">
        <v>380</v>
      </c>
      <c r="W51" s="45">
        <v>380</v>
      </c>
      <c r="X51" s="45">
        <v>456</v>
      </c>
      <c r="Y51" s="45">
        <v>456</v>
      </c>
      <c r="Z51" s="45">
        <v>456</v>
      </c>
      <c r="AA51" s="45">
        <v>400</v>
      </c>
      <c r="AB51" s="45">
        <v>380</v>
      </c>
      <c r="AC51" s="45">
        <v>380</v>
      </c>
      <c r="AD51" s="45">
        <v>380</v>
      </c>
      <c r="AE51" s="45">
        <v>360</v>
      </c>
      <c r="AF51" s="45">
        <v>360</v>
      </c>
      <c r="AG51" s="51">
        <v>456</v>
      </c>
      <c r="AH51" s="47">
        <f t="shared" si="2"/>
        <v>456</v>
      </c>
      <c r="AI51" s="48">
        <f t="shared" si="3"/>
        <v>360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22.5</v>
      </c>
      <c r="K53" s="66">
        <v>22.5</v>
      </c>
      <c r="L53" s="66">
        <v>22.5</v>
      </c>
      <c r="M53" s="66">
        <v>22.5</v>
      </c>
      <c r="N53" s="66">
        <v>22.5</v>
      </c>
      <c r="O53" s="66">
        <v>22.5</v>
      </c>
      <c r="P53" s="66">
        <v>22.5</v>
      </c>
      <c r="Q53" s="66">
        <v>22.5</v>
      </c>
      <c r="R53" s="66">
        <v>22.5</v>
      </c>
      <c r="S53" s="66">
        <v>22.5</v>
      </c>
      <c r="T53" s="66">
        <v>22.5</v>
      </c>
      <c r="U53" s="66">
        <v>22.5</v>
      </c>
      <c r="V53" s="66">
        <v>22.5</v>
      </c>
      <c r="W53" s="66">
        <v>22.5</v>
      </c>
      <c r="X53" s="66">
        <v>22.5</v>
      </c>
      <c r="Y53" s="66">
        <v>22.5</v>
      </c>
      <c r="Z53" s="66">
        <v>22.5</v>
      </c>
      <c r="AA53" s="66">
        <v>22.5</v>
      </c>
      <c r="AB53" s="66">
        <v>22.5</v>
      </c>
      <c r="AC53" s="66">
        <v>22.5</v>
      </c>
      <c r="AD53" s="66">
        <v>22.5</v>
      </c>
      <c r="AE53" s="66">
        <v>22.5</v>
      </c>
      <c r="AF53" s="66">
        <v>22.5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C54" si="9">SUM(B51:B53)</f>
        <v>538.4</v>
      </c>
      <c r="C54" s="60">
        <f t="shared" si="9"/>
        <v>482.4</v>
      </c>
      <c r="D54" s="60">
        <f t="shared" ref="D54" si="10">SUM(D51:D53)</f>
        <v>482.4</v>
      </c>
      <c r="E54" s="60">
        <f t="shared" ref="E54:AG54" si="11">SUM(E51:E53)</f>
        <v>482.4</v>
      </c>
      <c r="F54" s="60">
        <f t="shared" si="11"/>
        <v>482.4</v>
      </c>
      <c r="G54" s="60">
        <f t="shared" si="11"/>
        <v>482.4</v>
      </c>
      <c r="H54" s="60">
        <f t="shared" si="11"/>
        <v>482.4</v>
      </c>
      <c r="I54" s="60">
        <f t="shared" si="11"/>
        <v>482.4</v>
      </c>
      <c r="J54" s="60">
        <f t="shared" si="11"/>
        <v>482.5</v>
      </c>
      <c r="K54" s="60">
        <f t="shared" si="11"/>
        <v>482.5</v>
      </c>
      <c r="L54" s="60">
        <f t="shared" si="11"/>
        <v>482.5</v>
      </c>
      <c r="M54" s="60">
        <f t="shared" si="11"/>
        <v>482.5</v>
      </c>
      <c r="N54" s="60">
        <f t="shared" si="11"/>
        <v>482.5</v>
      </c>
      <c r="O54" s="60">
        <f t="shared" si="11"/>
        <v>482.5</v>
      </c>
      <c r="P54" s="60">
        <f t="shared" si="11"/>
        <v>482.5</v>
      </c>
      <c r="Q54" s="60">
        <f t="shared" si="11"/>
        <v>482.5</v>
      </c>
      <c r="R54" s="60">
        <f t="shared" si="11"/>
        <v>482.5</v>
      </c>
      <c r="S54" s="60">
        <f t="shared" si="11"/>
        <v>462.5</v>
      </c>
      <c r="T54" s="60">
        <f t="shared" si="11"/>
        <v>462.5</v>
      </c>
      <c r="U54" s="60">
        <f t="shared" si="11"/>
        <v>462.5</v>
      </c>
      <c r="V54" s="60">
        <f t="shared" si="11"/>
        <v>462.5</v>
      </c>
      <c r="W54" s="60">
        <f t="shared" si="11"/>
        <v>462.5</v>
      </c>
      <c r="X54" s="60">
        <f t="shared" si="11"/>
        <v>538.5</v>
      </c>
      <c r="Y54" s="60">
        <f t="shared" si="11"/>
        <v>538.5</v>
      </c>
      <c r="Z54" s="60">
        <f t="shared" si="11"/>
        <v>538.5</v>
      </c>
      <c r="AA54" s="60">
        <f t="shared" si="11"/>
        <v>482.5</v>
      </c>
      <c r="AB54" s="60">
        <f t="shared" si="11"/>
        <v>462.5</v>
      </c>
      <c r="AC54" s="60">
        <f t="shared" si="11"/>
        <v>462.5</v>
      </c>
      <c r="AD54" s="60">
        <f t="shared" si="11"/>
        <v>462.5</v>
      </c>
      <c r="AE54" s="60">
        <f t="shared" si="11"/>
        <v>442.5</v>
      </c>
      <c r="AF54" s="60">
        <f t="shared" si="11"/>
        <v>442.5</v>
      </c>
      <c r="AG54" s="61">
        <f t="shared" si="11"/>
        <v>538.1</v>
      </c>
      <c r="AH54" s="47">
        <f t="shared" si="2"/>
        <v>538.5</v>
      </c>
      <c r="AI54" s="48">
        <f t="shared" si="3"/>
        <v>442.5</v>
      </c>
      <c r="AK54" s="50"/>
    </row>
    <row r="55" spans="1:41" x14ac:dyDescent="0.25">
      <c r="A55" s="44" t="s">
        <v>63</v>
      </c>
      <c r="B55" s="45">
        <v>145.6</v>
      </c>
      <c r="C55" s="45">
        <v>141.80000000000001</v>
      </c>
      <c r="D55" s="45">
        <v>146</v>
      </c>
      <c r="E55" s="45">
        <v>146</v>
      </c>
      <c r="F55" s="45">
        <v>146.4</v>
      </c>
      <c r="G55" s="45">
        <v>146.30000000000001</v>
      </c>
      <c r="H55" s="45">
        <v>146.30000000000001</v>
      </c>
      <c r="I55" s="45">
        <v>146.1</v>
      </c>
      <c r="J55" s="45">
        <v>137.5</v>
      </c>
      <c r="K55" s="45">
        <v>134.1</v>
      </c>
      <c r="L55" s="45">
        <v>145.4</v>
      </c>
      <c r="M55" s="45">
        <v>145.4</v>
      </c>
      <c r="N55" s="45">
        <v>145.4</v>
      </c>
      <c r="O55" s="45">
        <v>120</v>
      </c>
      <c r="P55" s="45">
        <v>120</v>
      </c>
      <c r="Q55" s="45">
        <v>135</v>
      </c>
      <c r="R55" s="45">
        <v>140</v>
      </c>
      <c r="S55" s="45">
        <v>121.5</v>
      </c>
      <c r="T55" s="45">
        <v>121.4</v>
      </c>
      <c r="U55" s="45">
        <v>121.4</v>
      </c>
      <c r="V55" s="45">
        <v>130.30000000000001</v>
      </c>
      <c r="W55" s="45">
        <v>132.4</v>
      </c>
      <c r="X55" s="45">
        <v>144.4</v>
      </c>
      <c r="Y55" s="45">
        <v>145</v>
      </c>
      <c r="Z55" s="45">
        <v>145</v>
      </c>
      <c r="AA55" s="45">
        <v>136.9</v>
      </c>
      <c r="AB55" s="45">
        <v>135.5</v>
      </c>
      <c r="AC55" s="45">
        <v>135.5</v>
      </c>
      <c r="AD55" s="45">
        <v>141.5</v>
      </c>
      <c r="AE55" s="45">
        <v>141.5</v>
      </c>
      <c r="AF55" s="45">
        <v>141.5</v>
      </c>
      <c r="AG55" s="51">
        <v>144</v>
      </c>
      <c r="AH55" s="47">
        <f t="shared" si="2"/>
        <v>146.4</v>
      </c>
      <c r="AI55" s="48">
        <f t="shared" si="3"/>
        <v>120</v>
      </c>
      <c r="AK55" s="50"/>
    </row>
    <row r="56" spans="1:41" x14ac:dyDescent="0.25">
      <c r="A56" s="53" t="s">
        <v>64</v>
      </c>
      <c r="B56" s="45">
        <v>70</v>
      </c>
      <c r="C56" s="45">
        <v>70</v>
      </c>
      <c r="D56" s="45">
        <v>70</v>
      </c>
      <c r="E56" s="64">
        <v>69.400000000000006</v>
      </c>
      <c r="F56" s="64">
        <v>69.599999999999994</v>
      </c>
      <c r="G56" s="64">
        <v>69.7</v>
      </c>
      <c r="H56" s="64">
        <v>69.599999999999994</v>
      </c>
      <c r="I56" s="64">
        <v>69.8</v>
      </c>
      <c r="J56" s="64">
        <v>69.599999999999994</v>
      </c>
      <c r="K56" s="64">
        <v>69.5</v>
      </c>
      <c r="L56" s="64">
        <v>69.099999999999994</v>
      </c>
      <c r="M56" s="64">
        <v>69.099999999999994</v>
      </c>
      <c r="N56" s="64">
        <v>69.099999999999994</v>
      </c>
      <c r="O56" s="64">
        <v>69.099999999999994</v>
      </c>
      <c r="P56" s="64">
        <v>69.099999999999994</v>
      </c>
      <c r="Q56" s="64">
        <v>69.099999999999994</v>
      </c>
      <c r="R56" s="64">
        <v>69.099999999999994</v>
      </c>
      <c r="S56" s="45">
        <v>69.400000000000006</v>
      </c>
      <c r="T56" s="45">
        <v>69.400000000000006</v>
      </c>
      <c r="U56" s="45">
        <v>69.400000000000006</v>
      </c>
      <c r="V56" s="45">
        <v>70.8</v>
      </c>
      <c r="W56" s="45">
        <v>70.099999999999994</v>
      </c>
      <c r="X56" s="45">
        <v>70.599999999999994</v>
      </c>
      <c r="Y56" s="45">
        <v>70.099999999999994</v>
      </c>
      <c r="Z56" s="45">
        <v>70.099999999999994</v>
      </c>
      <c r="AA56" s="45">
        <v>58.6</v>
      </c>
      <c r="AB56" s="45">
        <v>60</v>
      </c>
      <c r="AC56" s="45">
        <v>60.5</v>
      </c>
      <c r="AD56" s="64">
        <v>69.3</v>
      </c>
      <c r="AE56" s="64">
        <v>69.3</v>
      </c>
      <c r="AF56" s="64">
        <v>69.3</v>
      </c>
      <c r="AG56" s="54">
        <v>70</v>
      </c>
      <c r="AH56" s="47">
        <f t="shared" si="2"/>
        <v>70.8</v>
      </c>
      <c r="AI56" s="48">
        <f t="shared" si="3"/>
        <v>58.6</v>
      </c>
      <c r="AK56" s="50"/>
    </row>
    <row r="57" spans="1:41" x14ac:dyDescent="0.25">
      <c r="A57" s="53" t="s">
        <v>65</v>
      </c>
      <c r="B57" s="45">
        <v>69.7</v>
      </c>
      <c r="C57" s="45">
        <v>69.599999999999994</v>
      </c>
      <c r="D57" s="45">
        <v>68.8</v>
      </c>
      <c r="E57" s="64">
        <v>69.900000000000006</v>
      </c>
      <c r="F57" s="64">
        <v>71.099999999999994</v>
      </c>
      <c r="G57" s="64">
        <v>69.8</v>
      </c>
      <c r="H57" s="64">
        <v>69.7</v>
      </c>
      <c r="I57" s="64">
        <v>69.3</v>
      </c>
      <c r="J57" s="64">
        <v>70</v>
      </c>
      <c r="K57" s="64">
        <v>69.900000000000006</v>
      </c>
      <c r="L57" s="64">
        <v>70.5</v>
      </c>
      <c r="M57" s="64">
        <v>70.5</v>
      </c>
      <c r="N57" s="64">
        <v>70.5</v>
      </c>
      <c r="O57" s="64">
        <v>50</v>
      </c>
      <c r="P57" s="64">
        <v>50</v>
      </c>
      <c r="Q57" s="64">
        <v>50</v>
      </c>
      <c r="R57" s="64">
        <v>70</v>
      </c>
      <c r="S57" s="45">
        <v>61.1</v>
      </c>
      <c r="T57" s="45">
        <v>61.4</v>
      </c>
      <c r="U57" s="45">
        <v>61.4</v>
      </c>
      <c r="V57" s="45">
        <v>69.7</v>
      </c>
      <c r="W57" s="45">
        <v>69.900000000000006</v>
      </c>
      <c r="X57" s="45">
        <v>69.3</v>
      </c>
      <c r="Y57" s="45">
        <v>69.400000000000006</v>
      </c>
      <c r="Z57" s="45">
        <v>69.400000000000006</v>
      </c>
      <c r="AA57" s="45">
        <v>54.7</v>
      </c>
      <c r="AB57" s="45">
        <v>62</v>
      </c>
      <c r="AC57" s="45">
        <v>64.599999999999994</v>
      </c>
      <c r="AD57" s="64">
        <v>61.9</v>
      </c>
      <c r="AE57" s="64">
        <v>61.9</v>
      </c>
      <c r="AF57" s="64">
        <v>61.9</v>
      </c>
      <c r="AG57" s="54">
        <v>69</v>
      </c>
      <c r="AH57" s="47">
        <f t="shared" si="2"/>
        <v>71.099999999999994</v>
      </c>
      <c r="AI57" s="48">
        <f t="shared" si="3"/>
        <v>50</v>
      </c>
      <c r="AK57" s="50"/>
    </row>
    <row r="58" spans="1:41" x14ac:dyDescent="0.25">
      <c r="A58" s="53" t="s">
        <v>66</v>
      </c>
      <c r="B58" s="45">
        <v>60</v>
      </c>
      <c r="C58" s="45">
        <v>60</v>
      </c>
      <c r="D58" s="45">
        <v>61.2</v>
      </c>
      <c r="E58" s="56">
        <v>61.4</v>
      </c>
      <c r="F58" s="56">
        <v>60.4</v>
      </c>
      <c r="G58" s="56">
        <v>60.9</v>
      </c>
      <c r="H58" s="56">
        <v>60.9</v>
      </c>
      <c r="I58" s="56">
        <v>60.9</v>
      </c>
      <c r="J58" s="56">
        <v>60.9</v>
      </c>
      <c r="K58" s="56">
        <v>60.4</v>
      </c>
      <c r="L58" s="56">
        <v>60.7</v>
      </c>
      <c r="M58" s="56">
        <v>60.7</v>
      </c>
      <c r="N58" s="56">
        <v>60.7</v>
      </c>
      <c r="O58" s="56">
        <v>60.7</v>
      </c>
      <c r="P58" s="56">
        <v>60.7</v>
      </c>
      <c r="Q58" s="56">
        <v>60.7</v>
      </c>
      <c r="R58" s="56">
        <v>60.7</v>
      </c>
      <c r="S58" s="45">
        <v>60.9</v>
      </c>
      <c r="T58" s="45">
        <v>60.7</v>
      </c>
      <c r="U58" s="45">
        <v>60.7</v>
      </c>
      <c r="V58" s="45">
        <v>60.7</v>
      </c>
      <c r="W58" s="45">
        <v>60.7</v>
      </c>
      <c r="X58" s="45">
        <v>60.7</v>
      </c>
      <c r="Y58" s="45">
        <v>60.7</v>
      </c>
      <c r="Z58" s="45">
        <v>60.7</v>
      </c>
      <c r="AA58" s="45">
        <v>60.7</v>
      </c>
      <c r="AB58" s="45">
        <v>60.7</v>
      </c>
      <c r="AC58" s="45">
        <v>60.7</v>
      </c>
      <c r="AD58" s="64">
        <v>60.74</v>
      </c>
      <c r="AE58" s="64">
        <v>60.74</v>
      </c>
      <c r="AF58" s="64">
        <v>60.74</v>
      </c>
      <c r="AG58" s="54">
        <v>60</v>
      </c>
      <c r="AH58" s="47">
        <f t="shared" si="2"/>
        <v>61.4</v>
      </c>
      <c r="AI58" s="48">
        <f t="shared" si="3"/>
        <v>60</v>
      </c>
      <c r="AK58" s="50"/>
    </row>
    <row r="59" spans="1:41" x14ac:dyDescent="0.25">
      <c r="A59" s="53" t="s">
        <v>67</v>
      </c>
      <c r="B59" s="45">
        <v>15</v>
      </c>
      <c r="C59" s="45">
        <v>15</v>
      </c>
      <c r="D59" s="45">
        <v>15</v>
      </c>
      <c r="E59" s="56">
        <v>15</v>
      </c>
      <c r="F59" s="56">
        <v>15</v>
      </c>
      <c r="G59" s="56">
        <v>15</v>
      </c>
      <c r="H59" s="56">
        <v>25</v>
      </c>
      <c r="I59" s="56">
        <v>25</v>
      </c>
      <c r="J59" s="56">
        <v>25</v>
      </c>
      <c r="K59" s="56">
        <v>25</v>
      </c>
      <c r="L59" s="56">
        <v>25</v>
      </c>
      <c r="M59" s="56">
        <v>25</v>
      </c>
      <c r="N59" s="56">
        <v>25</v>
      </c>
      <c r="O59" s="56">
        <v>25</v>
      </c>
      <c r="P59" s="56">
        <v>15</v>
      </c>
      <c r="Q59" s="56">
        <v>15</v>
      </c>
      <c r="R59" s="56">
        <v>15</v>
      </c>
      <c r="S59" s="45">
        <v>15</v>
      </c>
      <c r="T59" s="45">
        <v>15</v>
      </c>
      <c r="U59" s="45">
        <v>15</v>
      </c>
      <c r="V59" s="45">
        <v>15</v>
      </c>
      <c r="W59" s="45">
        <v>15</v>
      </c>
      <c r="X59" s="45">
        <v>15</v>
      </c>
      <c r="Y59" s="45">
        <v>15</v>
      </c>
      <c r="Z59" s="45">
        <v>15</v>
      </c>
      <c r="AA59" s="45">
        <v>13</v>
      </c>
      <c r="AB59" s="45">
        <v>13</v>
      </c>
      <c r="AC59" s="45">
        <v>13</v>
      </c>
      <c r="AD59" s="64">
        <v>13</v>
      </c>
      <c r="AE59" s="64">
        <v>13</v>
      </c>
      <c r="AF59" s="64">
        <v>13</v>
      </c>
      <c r="AG59" s="54">
        <v>30</v>
      </c>
      <c r="AH59" s="47">
        <f t="shared" si="2"/>
        <v>25</v>
      </c>
      <c r="AI59" s="48">
        <f t="shared" si="3"/>
        <v>13</v>
      </c>
      <c r="AK59" s="50"/>
    </row>
    <row r="60" spans="1:41" x14ac:dyDescent="0.25">
      <c r="A60" s="53" t="s">
        <v>68</v>
      </c>
      <c r="B60" s="45">
        <v>0</v>
      </c>
      <c r="C60" s="45">
        <v>0</v>
      </c>
      <c r="D60" s="45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2.8</v>
      </c>
      <c r="M60" s="64">
        <v>2.8</v>
      </c>
      <c r="N60" s="64">
        <v>2.8</v>
      </c>
      <c r="O60" s="64">
        <v>2.8</v>
      </c>
      <c r="P60" s="64">
        <v>2.8</v>
      </c>
      <c r="Q60" s="64">
        <v>2.8</v>
      </c>
      <c r="R60" s="64">
        <v>2.8</v>
      </c>
      <c r="S60" s="45">
        <v>12.9</v>
      </c>
      <c r="T60" s="45">
        <v>8</v>
      </c>
      <c r="U60" s="45">
        <v>8</v>
      </c>
      <c r="V60" s="45">
        <v>4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12.9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14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5</v>
      </c>
      <c r="C62" s="64">
        <v>5</v>
      </c>
      <c r="D62" s="64">
        <v>5</v>
      </c>
      <c r="E62" s="64">
        <v>5</v>
      </c>
      <c r="F62" s="64">
        <v>5</v>
      </c>
      <c r="G62" s="64">
        <v>5</v>
      </c>
      <c r="H62" s="64">
        <v>5</v>
      </c>
      <c r="I62" s="64">
        <v>5</v>
      </c>
      <c r="J62" s="64">
        <v>5</v>
      </c>
      <c r="K62" s="64">
        <v>5</v>
      </c>
      <c r="L62" s="64">
        <v>5</v>
      </c>
      <c r="M62" s="64">
        <v>5</v>
      </c>
      <c r="N62" s="64">
        <v>5</v>
      </c>
      <c r="O62" s="64">
        <v>5</v>
      </c>
      <c r="P62" s="64">
        <v>5</v>
      </c>
      <c r="Q62" s="64">
        <v>5</v>
      </c>
      <c r="R62" s="64">
        <v>5</v>
      </c>
      <c r="S62" s="64">
        <v>5</v>
      </c>
      <c r="T62" s="64">
        <v>5</v>
      </c>
      <c r="U62" s="64">
        <v>5</v>
      </c>
      <c r="V62" s="64">
        <v>5</v>
      </c>
      <c r="W62" s="64">
        <v>5</v>
      </c>
      <c r="X62" s="64">
        <v>5</v>
      </c>
      <c r="Y62" s="64">
        <v>5</v>
      </c>
      <c r="Z62" s="64">
        <v>5</v>
      </c>
      <c r="AA62" s="64">
        <v>5</v>
      </c>
      <c r="AB62" s="64">
        <v>5</v>
      </c>
      <c r="AC62" s="64">
        <v>5</v>
      </c>
      <c r="AD62" s="64">
        <v>5</v>
      </c>
      <c r="AE62" s="64">
        <v>5</v>
      </c>
      <c r="AF62" s="64">
        <v>5</v>
      </c>
      <c r="AG62" s="54">
        <v>15</v>
      </c>
      <c r="AH62" s="47">
        <f t="shared" si="2"/>
        <v>5</v>
      </c>
      <c r="AI62" s="48">
        <f t="shared" si="3"/>
        <v>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9.6</v>
      </c>
      <c r="C63" s="64">
        <v>9.6</v>
      </c>
      <c r="D63" s="64">
        <v>9.6999999999999993</v>
      </c>
      <c r="E63" s="64">
        <v>9.6999999999999993</v>
      </c>
      <c r="F63" s="64">
        <v>9.6999999999999993</v>
      </c>
      <c r="G63" s="64">
        <v>9.6999999999999993</v>
      </c>
      <c r="H63" s="64">
        <v>9.6999999999999993</v>
      </c>
      <c r="I63" s="64">
        <v>9.6999999999999993</v>
      </c>
      <c r="J63" s="64">
        <v>9.6999999999999993</v>
      </c>
      <c r="K63" s="64">
        <v>9.6999999999999993</v>
      </c>
      <c r="L63" s="64">
        <v>9.6999999999999993</v>
      </c>
      <c r="M63" s="64">
        <v>9.6999999999999993</v>
      </c>
      <c r="N63" s="64">
        <v>9.6999999999999993</v>
      </c>
      <c r="O63" s="64">
        <v>9.6999999999999993</v>
      </c>
      <c r="P63" s="64">
        <v>9.6999999999999993</v>
      </c>
      <c r="Q63" s="64">
        <v>9.6999999999999993</v>
      </c>
      <c r="R63" s="64">
        <v>9.6999999999999993</v>
      </c>
      <c r="S63" s="64">
        <v>9.6999999999999993</v>
      </c>
      <c r="T63" s="64">
        <v>9.5</v>
      </c>
      <c r="U63" s="64">
        <v>9.5</v>
      </c>
      <c r="V63" s="64">
        <v>9.5</v>
      </c>
      <c r="W63" s="64">
        <v>9.5</v>
      </c>
      <c r="X63" s="64">
        <v>9.5</v>
      </c>
      <c r="Y63" s="64">
        <v>9.5</v>
      </c>
      <c r="Z63" s="64">
        <v>9.5</v>
      </c>
      <c r="AA63" s="64">
        <v>9.5</v>
      </c>
      <c r="AB63" s="64">
        <v>9.5</v>
      </c>
      <c r="AC63" s="64">
        <v>9.5</v>
      </c>
      <c r="AD63" s="64">
        <v>9.5</v>
      </c>
      <c r="AE63" s="64">
        <v>9.5</v>
      </c>
      <c r="AF63" s="64">
        <v>9.5</v>
      </c>
      <c r="AG63" s="54">
        <v>14.1</v>
      </c>
      <c r="AH63" s="47">
        <f t="shared" si="2"/>
        <v>9.6999999999999993</v>
      </c>
      <c r="AI63" s="48">
        <f t="shared" si="3"/>
        <v>9.5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14.3</v>
      </c>
      <c r="C64" s="64">
        <v>14.3</v>
      </c>
      <c r="D64" s="64">
        <v>14.3</v>
      </c>
      <c r="E64" s="64">
        <v>14.3</v>
      </c>
      <c r="F64" s="64">
        <v>14.3</v>
      </c>
      <c r="G64" s="64">
        <v>14.3</v>
      </c>
      <c r="H64" s="64">
        <v>14.3</v>
      </c>
      <c r="I64" s="64">
        <v>14.3</v>
      </c>
      <c r="J64" s="64">
        <v>14.3</v>
      </c>
      <c r="K64" s="64">
        <v>14.3</v>
      </c>
      <c r="L64" s="64">
        <v>14.3</v>
      </c>
      <c r="M64" s="64">
        <v>14.3</v>
      </c>
      <c r="N64" s="64">
        <v>14.3</v>
      </c>
      <c r="O64" s="64">
        <v>14.3</v>
      </c>
      <c r="P64" s="64">
        <v>14.3</v>
      </c>
      <c r="Q64" s="64">
        <v>14.3</v>
      </c>
      <c r="R64" s="64">
        <v>14.3</v>
      </c>
      <c r="S64" s="64">
        <v>14.3</v>
      </c>
      <c r="T64" s="64">
        <v>14.3</v>
      </c>
      <c r="U64" s="64">
        <v>14.3</v>
      </c>
      <c r="V64" s="64">
        <v>14.3</v>
      </c>
      <c r="W64" s="64">
        <v>14.3</v>
      </c>
      <c r="X64" s="64">
        <v>14.3</v>
      </c>
      <c r="Y64" s="64">
        <v>14.3</v>
      </c>
      <c r="Z64" s="64">
        <v>14.3</v>
      </c>
      <c r="AA64" s="64">
        <v>14.4</v>
      </c>
      <c r="AB64" s="64">
        <v>14.4</v>
      </c>
      <c r="AC64" s="64">
        <v>14.4</v>
      </c>
      <c r="AD64" s="64">
        <v>14.4</v>
      </c>
      <c r="AE64" s="64">
        <v>14.4</v>
      </c>
      <c r="AF64" s="64">
        <v>14.4</v>
      </c>
      <c r="AG64" s="54">
        <v>14</v>
      </c>
      <c r="AH64" s="47">
        <f t="shared" si="2"/>
        <v>14.4</v>
      </c>
      <c r="AI64" s="48">
        <f t="shared" si="3"/>
        <v>14.3</v>
      </c>
      <c r="AK64" s="50"/>
    </row>
    <row r="65" spans="1:40" x14ac:dyDescent="0.25">
      <c r="A65" s="53" t="s">
        <v>73</v>
      </c>
      <c r="B65" s="64">
        <v>9</v>
      </c>
      <c r="C65" s="64">
        <v>9</v>
      </c>
      <c r="D65" s="64">
        <v>9</v>
      </c>
      <c r="E65" s="64">
        <v>9</v>
      </c>
      <c r="F65" s="64">
        <v>9</v>
      </c>
      <c r="G65" s="64">
        <v>9</v>
      </c>
      <c r="H65" s="64">
        <v>9</v>
      </c>
      <c r="I65" s="64">
        <v>9</v>
      </c>
      <c r="J65" s="64">
        <v>9</v>
      </c>
      <c r="K65" s="64">
        <v>9</v>
      </c>
      <c r="L65" s="64">
        <v>9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>
        <v>9</v>
      </c>
      <c r="AB65" s="64">
        <v>9</v>
      </c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9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C68" si="12">SUM(B55:B67)</f>
        <v>421.94000000000005</v>
      </c>
      <c r="C68" s="60">
        <f t="shared" si="12"/>
        <v>418.04</v>
      </c>
      <c r="D68" s="60">
        <f t="shared" ref="D68" si="13">SUM(D55:D67)</f>
        <v>422.74</v>
      </c>
      <c r="E68" s="60">
        <f t="shared" ref="E68:AG68" si="14">SUM(E55:E67)</f>
        <v>423.44</v>
      </c>
      <c r="F68" s="60">
        <f t="shared" si="14"/>
        <v>424.24</v>
      </c>
      <c r="G68" s="60">
        <f t="shared" si="14"/>
        <v>423.44</v>
      </c>
      <c r="H68" s="60">
        <f t="shared" si="14"/>
        <v>433.24</v>
      </c>
      <c r="I68" s="60">
        <f t="shared" si="14"/>
        <v>432.84</v>
      </c>
      <c r="J68" s="60">
        <f t="shared" si="14"/>
        <v>424.74</v>
      </c>
      <c r="K68" s="60">
        <f t="shared" si="14"/>
        <v>420.64</v>
      </c>
      <c r="L68" s="60">
        <f t="shared" si="14"/>
        <v>435.24</v>
      </c>
      <c r="M68" s="60">
        <f t="shared" si="14"/>
        <v>435.24</v>
      </c>
      <c r="N68" s="60">
        <f t="shared" si="14"/>
        <v>435.24</v>
      </c>
      <c r="O68" s="60">
        <f t="shared" si="14"/>
        <v>389.34000000000003</v>
      </c>
      <c r="P68" s="60">
        <f t="shared" si="14"/>
        <v>379.34000000000003</v>
      </c>
      <c r="Q68" s="60">
        <f t="shared" si="14"/>
        <v>394.34000000000003</v>
      </c>
      <c r="R68" s="60">
        <f t="shared" si="14"/>
        <v>419.34000000000003</v>
      </c>
      <c r="S68" s="60">
        <f t="shared" si="14"/>
        <v>402.53999999999996</v>
      </c>
      <c r="T68" s="60">
        <f t="shared" si="14"/>
        <v>397.44000000000005</v>
      </c>
      <c r="U68" s="60">
        <f t="shared" si="14"/>
        <v>397.44000000000005</v>
      </c>
      <c r="V68" s="60">
        <f t="shared" si="14"/>
        <v>412.04</v>
      </c>
      <c r="W68" s="60">
        <f t="shared" si="14"/>
        <v>409.64</v>
      </c>
      <c r="X68" s="60">
        <f t="shared" si="14"/>
        <v>421.54</v>
      </c>
      <c r="Y68" s="60">
        <f t="shared" si="14"/>
        <v>421.74</v>
      </c>
      <c r="Z68" s="60">
        <f t="shared" si="14"/>
        <v>421.74</v>
      </c>
      <c r="AA68" s="60">
        <f t="shared" si="14"/>
        <v>385.53999999999996</v>
      </c>
      <c r="AB68" s="60">
        <f t="shared" si="14"/>
        <v>392.84</v>
      </c>
      <c r="AC68" s="60">
        <f t="shared" si="14"/>
        <v>395.94</v>
      </c>
      <c r="AD68" s="60">
        <f t="shared" si="14"/>
        <v>408.08</v>
      </c>
      <c r="AE68" s="60">
        <f t="shared" si="14"/>
        <v>408.08</v>
      </c>
      <c r="AF68" s="60">
        <f t="shared" si="14"/>
        <v>408.08</v>
      </c>
      <c r="AG68" s="61">
        <f t="shared" si="14"/>
        <v>489.91</v>
      </c>
      <c r="AH68" s="47">
        <f t="shared" si="2"/>
        <v>435.24</v>
      </c>
      <c r="AI68" s="48">
        <f t="shared" si="3"/>
        <v>379.34000000000003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>
        <v>59.6</v>
      </c>
      <c r="Y69" s="45">
        <v>59.6</v>
      </c>
      <c r="Z69" s="45">
        <v>29.5</v>
      </c>
      <c r="AA69" s="45">
        <v>29.6</v>
      </c>
      <c r="AB69" s="45">
        <v>14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59.6</v>
      </c>
      <c r="AI69" s="48">
        <f t="shared" si="3"/>
        <v>0</v>
      </c>
      <c r="AK69" s="50"/>
    </row>
    <row r="70" spans="1:40" x14ac:dyDescent="0.25">
      <c r="A70" s="53" t="s">
        <v>78</v>
      </c>
      <c r="B70" s="64">
        <v>0</v>
      </c>
      <c r="C70" s="64">
        <v>0</v>
      </c>
      <c r="D70" s="64">
        <v>0</v>
      </c>
      <c r="E70" s="64">
        <v>0</v>
      </c>
      <c r="F70" s="64">
        <v>0</v>
      </c>
      <c r="G70" s="64">
        <v>0</v>
      </c>
      <c r="H70" s="64">
        <v>0</v>
      </c>
      <c r="I70" s="64">
        <v>0</v>
      </c>
      <c r="J70" s="64">
        <v>0</v>
      </c>
      <c r="K70" s="64">
        <v>0</v>
      </c>
      <c r="L70" s="64">
        <v>4</v>
      </c>
      <c r="M70" s="64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/>
      <c r="T70" s="64"/>
      <c r="U70" s="64"/>
      <c r="V70" s="64"/>
      <c r="W70" s="64"/>
      <c r="X70" s="64">
        <v>14.8</v>
      </c>
      <c r="Y70" s="64">
        <v>29.4</v>
      </c>
      <c r="Z70" s="64">
        <v>15.6</v>
      </c>
      <c r="AA70" s="64">
        <v>15.4</v>
      </c>
      <c r="AB70" s="64">
        <v>3.8</v>
      </c>
      <c r="AC70" s="64">
        <v>7.4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29.4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66">
        <v>0</v>
      </c>
      <c r="C71" s="66">
        <v>0</v>
      </c>
      <c r="D71" s="66">
        <v>0</v>
      </c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v>0</v>
      </c>
      <c r="K71" s="66">
        <v>0</v>
      </c>
      <c r="L71" s="66">
        <v>1.5</v>
      </c>
      <c r="M71" s="66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/>
      <c r="T71" s="66"/>
      <c r="U71" s="66"/>
      <c r="V71" s="66"/>
      <c r="W71" s="66"/>
      <c r="X71" s="66">
        <v>5.4</v>
      </c>
      <c r="Y71" s="66">
        <v>10.7</v>
      </c>
      <c r="Z71" s="66">
        <v>5.7</v>
      </c>
      <c r="AA71" s="66">
        <v>5.6</v>
      </c>
      <c r="AB71" s="66">
        <v>1.4</v>
      </c>
      <c r="AC71" s="66">
        <v>2.7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10.7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 t="shared" ref="B72:C72" si="15">B69+B70+B71</f>
        <v>0</v>
      </c>
      <c r="C72" s="60">
        <f t="shared" si="15"/>
        <v>0</v>
      </c>
      <c r="D72" s="60">
        <f t="shared" ref="D72" si="16">D69+D70+D71</f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5.5</v>
      </c>
      <c r="M72" s="60">
        <f t="shared" ref="M72:AF72" si="17">M69+M70+M71</f>
        <v>0</v>
      </c>
      <c r="N72" s="60">
        <f t="shared" si="17"/>
        <v>0</v>
      </c>
      <c r="O72" s="60">
        <f t="shared" si="17"/>
        <v>0</v>
      </c>
      <c r="P72" s="60">
        <f t="shared" si="17"/>
        <v>0</v>
      </c>
      <c r="Q72" s="60">
        <f t="shared" si="17"/>
        <v>0</v>
      </c>
      <c r="R72" s="60">
        <f t="shared" si="17"/>
        <v>0</v>
      </c>
      <c r="S72" s="60">
        <f t="shared" si="17"/>
        <v>0</v>
      </c>
      <c r="T72" s="60">
        <f t="shared" si="17"/>
        <v>0</v>
      </c>
      <c r="U72" s="60">
        <f t="shared" si="17"/>
        <v>0</v>
      </c>
      <c r="V72" s="60">
        <f t="shared" si="17"/>
        <v>0</v>
      </c>
      <c r="W72" s="60">
        <f t="shared" si="17"/>
        <v>0</v>
      </c>
      <c r="X72" s="60">
        <f t="shared" si="17"/>
        <v>79.800000000000011</v>
      </c>
      <c r="Y72" s="60">
        <v>99.7</v>
      </c>
      <c r="Z72" s="60">
        <f t="shared" si="17"/>
        <v>50.800000000000004</v>
      </c>
      <c r="AA72" s="60">
        <f t="shared" si="17"/>
        <v>50.6</v>
      </c>
      <c r="AB72" s="60">
        <f t="shared" si="17"/>
        <v>19.2</v>
      </c>
      <c r="AC72" s="60">
        <f t="shared" si="17"/>
        <v>10.100000000000001</v>
      </c>
      <c r="AD72" s="60">
        <f t="shared" si="17"/>
        <v>0</v>
      </c>
      <c r="AE72" s="60">
        <f t="shared" si="17"/>
        <v>0</v>
      </c>
      <c r="AF72" s="60">
        <f t="shared" si="17"/>
        <v>0</v>
      </c>
      <c r="AG72" s="61">
        <f>SUM(AG69:AG71)</f>
        <v>106</v>
      </c>
      <c r="AH72" s="47">
        <f t="shared" si="2"/>
        <v>99.7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-64.900000000000006</v>
      </c>
      <c r="C73" s="45">
        <v>-64.099999999999994</v>
      </c>
      <c r="D73" s="45">
        <v>-65.3</v>
      </c>
      <c r="E73" s="45">
        <v>-69.099999999999994</v>
      </c>
      <c r="F73" s="45">
        <v>-70.099999999999994</v>
      </c>
      <c r="G73" s="45">
        <v>-69</v>
      </c>
      <c r="H73" s="45">
        <v>-71.8</v>
      </c>
      <c r="I73" s="45">
        <v>-73.099999999999994</v>
      </c>
      <c r="J73" s="45">
        <v>-71.400000000000006</v>
      </c>
      <c r="K73" s="45">
        <v>-73.8</v>
      </c>
      <c r="L73" s="45">
        <v>-70.099999999999994</v>
      </c>
      <c r="M73" s="45">
        <v>-72</v>
      </c>
      <c r="N73" s="45">
        <v>-70</v>
      </c>
      <c r="O73" s="45">
        <v>-73</v>
      </c>
      <c r="P73" s="45">
        <v>-65</v>
      </c>
      <c r="Q73" s="45">
        <v>-62</v>
      </c>
      <c r="R73" s="45">
        <v>-60</v>
      </c>
      <c r="S73" s="45">
        <v>-53.7</v>
      </c>
      <c r="T73" s="45">
        <v>-55</v>
      </c>
      <c r="U73" s="45">
        <v>-63.1</v>
      </c>
      <c r="V73" s="45">
        <v>-64</v>
      </c>
      <c r="W73" s="45">
        <v>-64</v>
      </c>
      <c r="X73" s="45">
        <v>-60.5</v>
      </c>
      <c r="Y73" s="45">
        <v>-32.799999999999997</v>
      </c>
      <c r="Z73" s="45">
        <v>-34.799999999999997</v>
      </c>
      <c r="AA73" s="45">
        <v>-40</v>
      </c>
      <c r="AB73" s="45">
        <v>-40</v>
      </c>
      <c r="AC73" s="45">
        <v>-40.200000000000003</v>
      </c>
      <c r="AD73" s="45">
        <v>-54.9</v>
      </c>
      <c r="AE73" s="45">
        <v>-64</v>
      </c>
      <c r="AF73" s="45">
        <v>-63.6</v>
      </c>
      <c r="AG73" s="51"/>
      <c r="AH73" s="47">
        <f t="shared" si="2"/>
        <v>-32.799999999999997</v>
      </c>
      <c r="AI73" s="48">
        <f t="shared" si="3"/>
        <v>-73.8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-603.20000000000005</v>
      </c>
      <c r="C75" s="64">
        <v>-568.9</v>
      </c>
      <c r="D75" s="64">
        <v>-574.79999999999995</v>
      </c>
      <c r="E75" s="64">
        <v>-591</v>
      </c>
      <c r="F75" s="64">
        <v>-622.20000000000005</v>
      </c>
      <c r="G75" s="64">
        <v>-649.5</v>
      </c>
      <c r="H75" s="64">
        <v>-654.1</v>
      </c>
      <c r="I75" s="64">
        <v>-633</v>
      </c>
      <c r="J75" s="64">
        <v>-605.29999999999995</v>
      </c>
      <c r="K75" s="64">
        <v>-613.70000000000005</v>
      </c>
      <c r="L75" s="64">
        <v>-633.29999999999995</v>
      </c>
      <c r="M75" s="64">
        <v>-650</v>
      </c>
      <c r="N75" s="64">
        <v>-630</v>
      </c>
      <c r="O75" s="64">
        <v>-580</v>
      </c>
      <c r="P75" s="64">
        <v>-556</v>
      </c>
      <c r="Q75" s="64">
        <v>-560</v>
      </c>
      <c r="R75" s="64">
        <v>-600</v>
      </c>
      <c r="S75" s="64">
        <v>-579.1</v>
      </c>
      <c r="T75" s="64">
        <v>-600.4</v>
      </c>
      <c r="U75" s="64">
        <v>-595</v>
      </c>
      <c r="V75" s="64">
        <v>-569</v>
      </c>
      <c r="W75" s="64">
        <v>-540</v>
      </c>
      <c r="X75" s="64">
        <v>-563.9</v>
      </c>
      <c r="Y75" s="64">
        <v>-598.29999999999995</v>
      </c>
      <c r="Z75" s="64">
        <v>-543.6</v>
      </c>
      <c r="AA75" s="64">
        <v>-544.6</v>
      </c>
      <c r="AB75" s="64">
        <v>-547</v>
      </c>
      <c r="AC75" s="64">
        <v>-568</v>
      </c>
      <c r="AD75" s="64">
        <v>-607</v>
      </c>
      <c r="AE75" s="64">
        <v>-605</v>
      </c>
      <c r="AF75" s="64">
        <v>-610</v>
      </c>
      <c r="AG75" s="74"/>
      <c r="AH75" s="47">
        <f t="shared" si="2"/>
        <v>-540</v>
      </c>
      <c r="AI75" s="48">
        <f t="shared" si="3"/>
        <v>-654.1</v>
      </c>
      <c r="AK75" s="50"/>
    </row>
    <row r="76" spans="1:40" x14ac:dyDescent="0.25">
      <c r="A76" s="53" t="s">
        <v>84</v>
      </c>
      <c r="B76" s="75">
        <v>0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75">
        <v>0</v>
      </c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>
        <v>0</v>
      </c>
      <c r="AC76" s="75">
        <v>0</v>
      </c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>
        <v>0</v>
      </c>
      <c r="AC77" s="45">
        <v>0</v>
      </c>
      <c r="AD77" s="45"/>
      <c r="AE77" s="45"/>
      <c r="AF77" s="45"/>
      <c r="AG77" s="74"/>
      <c r="AH77" s="47">
        <f t="shared" ref="AH77:AH120" si="18">MAX(B77:AF77)</f>
        <v>0</v>
      </c>
      <c r="AI77" s="48">
        <f t="shared" ref="AI77:AI120" si="19">MIN(B77:AF77)</f>
        <v>0</v>
      </c>
      <c r="AK77" s="50"/>
    </row>
    <row r="78" spans="1:40" x14ac:dyDescent="0.25">
      <c r="A78" s="53" t="s">
        <v>86</v>
      </c>
      <c r="B78" s="76">
        <v>0</v>
      </c>
      <c r="C78" s="76">
        <v>0</v>
      </c>
      <c r="D78" s="76">
        <v>0</v>
      </c>
      <c r="E78" s="76">
        <v>0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>
        <v>0</v>
      </c>
      <c r="AC78" s="76">
        <v>0</v>
      </c>
      <c r="AD78" s="76"/>
      <c r="AE78" s="76"/>
      <c r="AF78" s="76"/>
      <c r="AG78" s="74"/>
      <c r="AH78" s="47">
        <f t="shared" si="18"/>
        <v>0</v>
      </c>
      <c r="AI78" s="48">
        <f t="shared" si="19"/>
        <v>0</v>
      </c>
      <c r="AK78" s="50"/>
    </row>
    <row r="79" spans="1:40" ht="15.75" thickBot="1" x14ac:dyDescent="0.3">
      <c r="A79" s="53" t="s">
        <v>87</v>
      </c>
      <c r="B79" s="76">
        <v>0</v>
      </c>
      <c r="C79" s="76">
        <v>0</v>
      </c>
      <c r="D79" s="76">
        <v>0</v>
      </c>
      <c r="E79" s="76">
        <v>0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>
        <v>0</v>
      </c>
      <c r="AC79" s="76">
        <v>0</v>
      </c>
      <c r="AD79" s="76"/>
      <c r="AE79" s="76"/>
      <c r="AF79" s="76"/>
      <c r="AG79" s="74"/>
      <c r="AH79" s="47">
        <f t="shared" si="18"/>
        <v>0</v>
      </c>
      <c r="AI79" s="48">
        <f t="shared" si="1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76">
        <v>0</v>
      </c>
      <c r="C80" s="76">
        <v>0</v>
      </c>
      <c r="D80" s="76">
        <v>0</v>
      </c>
      <c r="E80" s="76">
        <v>0</v>
      </c>
      <c r="F80" s="76">
        <v>0</v>
      </c>
      <c r="G80" s="76">
        <v>0</v>
      </c>
      <c r="H80" s="76">
        <v>0</v>
      </c>
      <c r="I80" s="76">
        <v>0</v>
      </c>
      <c r="J80" s="76">
        <v>0</v>
      </c>
      <c r="K80" s="76">
        <v>0</v>
      </c>
      <c r="L80" s="76">
        <v>0</v>
      </c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>
        <v>0</v>
      </c>
      <c r="AC80" s="76">
        <v>0</v>
      </c>
      <c r="AD80" s="76"/>
      <c r="AE80" s="76"/>
      <c r="AF80" s="76"/>
      <c r="AG80" s="74"/>
      <c r="AH80" s="47">
        <f t="shared" si="18"/>
        <v>0</v>
      </c>
      <c r="AI80" s="48">
        <f t="shared" si="1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76">
        <v>0</v>
      </c>
      <c r="C81" s="76">
        <v>0</v>
      </c>
      <c r="D81" s="76">
        <v>0</v>
      </c>
      <c r="E81" s="76">
        <v>0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>
        <v>0</v>
      </c>
      <c r="AC81" s="76">
        <v>0</v>
      </c>
      <c r="AD81" s="76"/>
      <c r="AE81" s="76"/>
      <c r="AF81" s="76"/>
      <c r="AG81" s="74"/>
      <c r="AH81" s="47">
        <f t="shared" si="18"/>
        <v>0</v>
      </c>
      <c r="AI81" s="48">
        <f t="shared" si="1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76">
        <v>0</v>
      </c>
      <c r="C82" s="76">
        <v>0</v>
      </c>
      <c r="D82" s="76">
        <v>0</v>
      </c>
      <c r="E82" s="76">
        <v>0</v>
      </c>
      <c r="F82" s="76">
        <v>0</v>
      </c>
      <c r="G82" s="76">
        <v>0</v>
      </c>
      <c r="H82" s="76">
        <v>0</v>
      </c>
      <c r="I82" s="76">
        <v>0</v>
      </c>
      <c r="J82" s="76">
        <v>0</v>
      </c>
      <c r="K82" s="76">
        <v>0</v>
      </c>
      <c r="L82" s="76">
        <v>0</v>
      </c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>
        <v>0</v>
      </c>
      <c r="AC82" s="76">
        <v>0</v>
      </c>
      <c r="AD82" s="76"/>
      <c r="AE82" s="76"/>
      <c r="AF82" s="76"/>
      <c r="AG82" s="84"/>
      <c r="AH82" s="47">
        <f t="shared" si="18"/>
        <v>0</v>
      </c>
      <c r="AI82" s="48">
        <f t="shared" si="1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76">
        <v>0</v>
      </c>
      <c r="C83" s="76">
        <v>0</v>
      </c>
      <c r="D83" s="76">
        <v>0</v>
      </c>
      <c r="E83" s="76">
        <v>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>
        <v>0</v>
      </c>
      <c r="AC83" s="76">
        <v>0</v>
      </c>
      <c r="AD83" s="76"/>
      <c r="AE83" s="76"/>
      <c r="AF83" s="76"/>
      <c r="AG83" s="84"/>
      <c r="AH83" s="47">
        <f t="shared" si="18"/>
        <v>0</v>
      </c>
      <c r="AI83" s="48">
        <f t="shared" si="1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C84" si="20">SUMIF(B73:B83,"&gt;0")</f>
        <v>0</v>
      </c>
      <c r="C84" s="60">
        <f t="shared" si="20"/>
        <v>0</v>
      </c>
      <c r="D84" s="60">
        <f t="shared" ref="D84" si="21">SUMIF(D73:D83,"&gt;0")</f>
        <v>0</v>
      </c>
      <c r="E84" s="60">
        <f t="shared" ref="E84:AF84" si="22">SUMIF(E73:E83,"&gt;0")</f>
        <v>0</v>
      </c>
      <c r="F84" s="60">
        <f t="shared" si="22"/>
        <v>0</v>
      </c>
      <c r="G84" s="60">
        <f t="shared" si="22"/>
        <v>0</v>
      </c>
      <c r="H84" s="60">
        <f t="shared" si="22"/>
        <v>0</v>
      </c>
      <c r="I84" s="60">
        <f t="shared" si="22"/>
        <v>0</v>
      </c>
      <c r="J84" s="60">
        <f t="shared" si="22"/>
        <v>0</v>
      </c>
      <c r="K84" s="60">
        <f t="shared" si="22"/>
        <v>0</v>
      </c>
      <c r="L84" s="60">
        <f t="shared" si="22"/>
        <v>0</v>
      </c>
      <c r="M84" s="60">
        <f t="shared" si="22"/>
        <v>0</v>
      </c>
      <c r="N84" s="60">
        <f t="shared" si="22"/>
        <v>0</v>
      </c>
      <c r="O84" s="60">
        <f t="shared" si="22"/>
        <v>0</v>
      </c>
      <c r="P84" s="60">
        <f t="shared" si="22"/>
        <v>0</v>
      </c>
      <c r="Q84" s="60">
        <f t="shared" si="22"/>
        <v>0</v>
      </c>
      <c r="R84" s="60">
        <f t="shared" si="22"/>
        <v>0</v>
      </c>
      <c r="S84" s="60">
        <f t="shared" si="22"/>
        <v>0</v>
      </c>
      <c r="T84" s="60">
        <f t="shared" si="22"/>
        <v>0</v>
      </c>
      <c r="U84" s="60">
        <f t="shared" si="22"/>
        <v>0</v>
      </c>
      <c r="V84" s="60">
        <f t="shared" si="22"/>
        <v>0</v>
      </c>
      <c r="W84" s="60">
        <f t="shared" si="22"/>
        <v>0</v>
      </c>
      <c r="X84" s="60">
        <f t="shared" si="22"/>
        <v>0</v>
      </c>
      <c r="Y84" s="60">
        <f t="shared" si="22"/>
        <v>0</v>
      </c>
      <c r="Z84" s="60">
        <f t="shared" si="22"/>
        <v>0</v>
      </c>
      <c r="AA84" s="60">
        <f t="shared" si="22"/>
        <v>0</v>
      </c>
      <c r="AB84" s="60">
        <f t="shared" si="22"/>
        <v>0</v>
      </c>
      <c r="AC84" s="60">
        <f t="shared" si="22"/>
        <v>0</v>
      </c>
      <c r="AD84" s="60">
        <f t="shared" si="22"/>
        <v>0</v>
      </c>
      <c r="AE84" s="60">
        <f t="shared" si="22"/>
        <v>0</v>
      </c>
      <c r="AF84" s="60">
        <f t="shared" si="22"/>
        <v>0</v>
      </c>
      <c r="AG84" s="87">
        <f>SUM(AG73:AG83)</f>
        <v>0</v>
      </c>
      <c r="AH84" s="47">
        <f t="shared" si="18"/>
        <v>0</v>
      </c>
      <c r="AI84" s="48">
        <f t="shared" si="1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18"/>
        <v>0</v>
      </c>
      <c r="AI85" s="48">
        <f t="shared" si="1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18"/>
        <v>0</v>
      </c>
      <c r="AI86" s="48">
        <f t="shared" si="1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18"/>
        <v>0</v>
      </c>
      <c r="AI87" s="48">
        <f t="shared" si="1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18"/>
        <v>0</v>
      </c>
      <c r="AI88" s="48">
        <f t="shared" si="19"/>
        <v>0</v>
      </c>
    </row>
    <row r="89" spans="1:40" ht="15.75" thickBot="1" x14ac:dyDescent="0.3">
      <c r="A89" s="73" t="s">
        <v>100</v>
      </c>
      <c r="B89" s="94">
        <f t="shared" ref="B89:C89" si="23">B50+B54+B72+B68+B84+B88</f>
        <v>2085.1400000000003</v>
      </c>
      <c r="C89" s="94">
        <f t="shared" si="23"/>
        <v>2025.3400000000001</v>
      </c>
      <c r="D89" s="94">
        <f t="shared" ref="D89" si="24">D50+D54+D72+D68+D84+D88</f>
        <v>2004.84</v>
      </c>
      <c r="E89" s="94">
        <f t="shared" ref="E89:AG89" si="25">E50+E54+E72+E68+E84+E88</f>
        <v>2003.8400000000001</v>
      </c>
      <c r="F89" s="94">
        <f t="shared" si="25"/>
        <v>2004.64</v>
      </c>
      <c r="G89" s="94">
        <f t="shared" si="25"/>
        <v>2003.8400000000001</v>
      </c>
      <c r="H89" s="94">
        <f t="shared" si="25"/>
        <v>2013.64</v>
      </c>
      <c r="I89" s="94">
        <f t="shared" si="25"/>
        <v>2039.64</v>
      </c>
      <c r="J89" s="94">
        <f t="shared" si="25"/>
        <v>2031.64</v>
      </c>
      <c r="K89" s="94">
        <f t="shared" si="25"/>
        <v>2049.54</v>
      </c>
      <c r="L89" s="94">
        <f t="shared" si="25"/>
        <v>2089.6400000000003</v>
      </c>
      <c r="M89" s="94">
        <f t="shared" si="25"/>
        <v>2036.14</v>
      </c>
      <c r="N89" s="94">
        <f t="shared" si="25"/>
        <v>2037.14</v>
      </c>
      <c r="O89" s="94">
        <f t="shared" si="25"/>
        <v>1955.2400000000002</v>
      </c>
      <c r="P89" s="94">
        <f t="shared" si="25"/>
        <v>861.84</v>
      </c>
      <c r="Q89" s="94">
        <f t="shared" si="25"/>
        <v>1923.7400000000002</v>
      </c>
      <c r="R89" s="94">
        <f t="shared" si="25"/>
        <v>1956.7400000000002</v>
      </c>
      <c r="S89" s="94">
        <f t="shared" si="25"/>
        <v>1904.04</v>
      </c>
      <c r="T89" s="94">
        <f t="shared" si="25"/>
        <v>1904.14</v>
      </c>
      <c r="U89" s="94">
        <f t="shared" si="25"/>
        <v>1904.14</v>
      </c>
      <c r="V89" s="94">
        <f t="shared" si="25"/>
        <v>1918.74</v>
      </c>
      <c r="W89" s="94">
        <f t="shared" si="25"/>
        <v>1916.44</v>
      </c>
      <c r="X89" s="94">
        <f t="shared" si="25"/>
        <v>2147.94</v>
      </c>
      <c r="Y89" s="94">
        <f t="shared" si="25"/>
        <v>2215.54</v>
      </c>
      <c r="Z89" s="94">
        <f t="shared" si="25"/>
        <v>2166.64</v>
      </c>
      <c r="AA89" s="94">
        <f t="shared" si="25"/>
        <v>2073.44</v>
      </c>
      <c r="AB89" s="94">
        <f t="shared" si="25"/>
        <v>2029.44</v>
      </c>
      <c r="AC89" s="94">
        <f t="shared" si="25"/>
        <v>2023.44</v>
      </c>
      <c r="AD89" s="94">
        <f t="shared" si="25"/>
        <v>2020.58</v>
      </c>
      <c r="AE89" s="94">
        <f t="shared" si="25"/>
        <v>1972.3799999999999</v>
      </c>
      <c r="AF89" s="94">
        <f t="shared" si="25"/>
        <v>1910.8799999999999</v>
      </c>
      <c r="AG89" s="61">
        <f t="shared" si="25"/>
        <v>2111.5500000000002</v>
      </c>
      <c r="AH89" s="47">
        <f t="shared" si="18"/>
        <v>2215.54</v>
      </c>
      <c r="AI89" s="48">
        <f t="shared" si="19"/>
        <v>861.84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18"/>
        <v>0</v>
      </c>
      <c r="AI90" s="48">
        <f t="shared" si="19"/>
        <v>0</v>
      </c>
    </row>
    <row r="91" spans="1:40" ht="15.75" thickBot="1" x14ac:dyDescent="0.3">
      <c r="A91" s="73" t="s">
        <v>102</v>
      </c>
      <c r="B91" s="94">
        <f t="shared" ref="B91:C91" si="26">B89+B90</f>
        <v>2085.1400000000003</v>
      </c>
      <c r="C91" s="94">
        <f t="shared" si="26"/>
        <v>2025.3400000000001</v>
      </c>
      <c r="D91" s="94">
        <f t="shared" ref="D91" si="27">D89+D90</f>
        <v>2004.84</v>
      </c>
      <c r="E91" s="94">
        <f t="shared" ref="E91:AF91" si="28">E89+E90</f>
        <v>2003.8400000000001</v>
      </c>
      <c r="F91" s="94">
        <f t="shared" si="28"/>
        <v>2004.64</v>
      </c>
      <c r="G91" s="94">
        <f t="shared" si="28"/>
        <v>2003.8400000000001</v>
      </c>
      <c r="H91" s="94">
        <f t="shared" si="28"/>
        <v>2013.64</v>
      </c>
      <c r="I91" s="94">
        <f t="shared" si="28"/>
        <v>2039.64</v>
      </c>
      <c r="J91" s="94">
        <f t="shared" si="28"/>
        <v>2031.64</v>
      </c>
      <c r="K91" s="94">
        <f t="shared" si="28"/>
        <v>2049.54</v>
      </c>
      <c r="L91" s="94">
        <f t="shared" si="28"/>
        <v>2089.6400000000003</v>
      </c>
      <c r="M91" s="94">
        <f t="shared" si="28"/>
        <v>2036.14</v>
      </c>
      <c r="N91" s="94">
        <f t="shared" si="28"/>
        <v>2037.14</v>
      </c>
      <c r="O91" s="94">
        <f t="shared" si="28"/>
        <v>1955.2400000000002</v>
      </c>
      <c r="P91" s="94">
        <f t="shared" si="28"/>
        <v>861.84</v>
      </c>
      <c r="Q91" s="94">
        <f t="shared" si="28"/>
        <v>1923.7400000000002</v>
      </c>
      <c r="R91" s="94">
        <f t="shared" si="28"/>
        <v>1956.7400000000002</v>
      </c>
      <c r="S91" s="94">
        <f t="shared" si="28"/>
        <v>1904.04</v>
      </c>
      <c r="T91" s="94">
        <f t="shared" si="28"/>
        <v>1904.14</v>
      </c>
      <c r="U91" s="94">
        <f t="shared" si="28"/>
        <v>1904.14</v>
      </c>
      <c r="V91" s="94">
        <f t="shared" si="28"/>
        <v>1918.74</v>
      </c>
      <c r="W91" s="94">
        <f t="shared" si="28"/>
        <v>1916.44</v>
      </c>
      <c r="X91" s="94">
        <f t="shared" si="28"/>
        <v>2147.94</v>
      </c>
      <c r="Y91" s="94">
        <f t="shared" si="28"/>
        <v>2215.54</v>
      </c>
      <c r="Z91" s="94">
        <f t="shared" si="28"/>
        <v>2166.64</v>
      </c>
      <c r="AA91" s="94">
        <f t="shared" si="28"/>
        <v>2073.44</v>
      </c>
      <c r="AB91" s="94">
        <f t="shared" si="28"/>
        <v>2029.44</v>
      </c>
      <c r="AC91" s="94">
        <f t="shared" si="28"/>
        <v>2023.44</v>
      </c>
      <c r="AD91" s="94">
        <f t="shared" si="28"/>
        <v>2020.58</v>
      </c>
      <c r="AE91" s="94">
        <f t="shared" si="28"/>
        <v>1972.3799999999999</v>
      </c>
      <c r="AF91" s="94">
        <f t="shared" si="28"/>
        <v>1910.8799999999999</v>
      </c>
      <c r="AG91" s="87">
        <f>AG88+AG84+AG72+AG68+AG50+AG90</f>
        <v>1573.45</v>
      </c>
      <c r="AH91" s="47">
        <f t="shared" si="18"/>
        <v>2215.54</v>
      </c>
      <c r="AI91" s="48">
        <f t="shared" si="19"/>
        <v>861.84</v>
      </c>
    </row>
    <row r="92" spans="1:40" ht="15.75" thickBot="1" x14ac:dyDescent="0.3">
      <c r="A92" s="73" t="s">
        <v>103</v>
      </c>
      <c r="B92" s="94">
        <f t="shared" ref="B92:C92" si="29">B91-(-B99)</f>
        <v>1481.9400000000003</v>
      </c>
      <c r="C92" s="94">
        <f t="shared" si="29"/>
        <v>1456.44</v>
      </c>
      <c r="D92" s="94">
        <f t="shared" ref="D92" si="30">D91-(-D99)</f>
        <v>1430.04</v>
      </c>
      <c r="E92" s="94">
        <f t="shared" ref="E92:AF92" si="31">E91-(-E99)</f>
        <v>1412.8400000000001</v>
      </c>
      <c r="F92" s="94">
        <f t="shared" si="31"/>
        <v>1382.44</v>
      </c>
      <c r="G92" s="94">
        <f t="shared" si="31"/>
        <v>1354.3400000000001</v>
      </c>
      <c r="H92" s="94">
        <f t="shared" si="31"/>
        <v>1359.54</v>
      </c>
      <c r="I92" s="94">
        <f t="shared" si="31"/>
        <v>1406.64</v>
      </c>
      <c r="J92" s="94">
        <f t="shared" si="31"/>
        <v>1426.3400000000001</v>
      </c>
      <c r="K92" s="94">
        <f t="shared" si="31"/>
        <v>1435.84</v>
      </c>
      <c r="L92" s="94">
        <f t="shared" si="31"/>
        <v>1456.3400000000004</v>
      </c>
      <c r="M92" s="94">
        <f t="shared" si="31"/>
        <v>1386.14</v>
      </c>
      <c r="N92" s="94">
        <f t="shared" si="31"/>
        <v>1407.14</v>
      </c>
      <c r="O92" s="94">
        <f t="shared" si="31"/>
        <v>1375.2400000000002</v>
      </c>
      <c r="P92" s="94">
        <f t="shared" si="31"/>
        <v>305.84000000000003</v>
      </c>
      <c r="Q92" s="94">
        <f t="shared" si="31"/>
        <v>1363.7400000000002</v>
      </c>
      <c r="R92" s="94">
        <f t="shared" si="31"/>
        <v>1356.7400000000002</v>
      </c>
      <c r="S92" s="94">
        <f t="shared" si="31"/>
        <v>1324.94</v>
      </c>
      <c r="T92" s="94">
        <f t="shared" si="31"/>
        <v>1303.7400000000002</v>
      </c>
      <c r="U92" s="94">
        <f t="shared" si="31"/>
        <v>1309.1400000000001</v>
      </c>
      <c r="V92" s="94">
        <f t="shared" si="31"/>
        <v>1349.74</v>
      </c>
      <c r="W92" s="94">
        <f t="shared" si="31"/>
        <v>1376.44</v>
      </c>
      <c r="X92" s="94">
        <f t="shared" si="31"/>
        <v>1584.04</v>
      </c>
      <c r="Y92" s="94">
        <f t="shared" si="31"/>
        <v>1617.24</v>
      </c>
      <c r="Z92" s="94">
        <f t="shared" si="31"/>
        <v>1623.04</v>
      </c>
      <c r="AA92" s="94">
        <f t="shared" si="31"/>
        <v>1528.8400000000001</v>
      </c>
      <c r="AB92" s="94">
        <f t="shared" si="31"/>
        <v>1482.44</v>
      </c>
      <c r="AC92" s="94">
        <f t="shared" si="31"/>
        <v>1455.44</v>
      </c>
      <c r="AD92" s="94">
        <f t="shared" si="31"/>
        <v>1413.58</v>
      </c>
      <c r="AE92" s="94">
        <f t="shared" si="31"/>
        <v>1367.3799999999999</v>
      </c>
      <c r="AF92" s="94">
        <f t="shared" si="31"/>
        <v>1300.8799999999999</v>
      </c>
      <c r="AG92" s="87"/>
      <c r="AH92" s="47">
        <f t="shared" si="18"/>
        <v>1623.04</v>
      </c>
      <c r="AI92" s="48">
        <f t="shared" si="19"/>
        <v>305.84000000000003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18"/>
        <v>0</v>
      </c>
      <c r="AI93" s="48">
        <f t="shared" si="1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18"/>
        <v>0</v>
      </c>
      <c r="AI94" s="48">
        <f t="shared" si="1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18"/>
        <v>0</v>
      </c>
      <c r="AI95" s="48">
        <f t="shared" si="1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18"/>
        <v>0</v>
      </c>
      <c r="AI96" s="48">
        <f t="shared" si="1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18"/>
        <v>0</v>
      </c>
      <c r="AI97" s="48">
        <f t="shared" si="1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18"/>
        <v>0</v>
      </c>
      <c r="AI98" s="48">
        <f t="shared" si="19"/>
        <v>0</v>
      </c>
    </row>
    <row r="99" spans="1:37" ht="15.75" thickBot="1" x14ac:dyDescent="0.3">
      <c r="A99" s="98" t="s">
        <v>107</v>
      </c>
      <c r="B99" s="60">
        <f t="shared" ref="B99:C99" si="32">B75</f>
        <v>-603.20000000000005</v>
      </c>
      <c r="C99" s="60">
        <f t="shared" si="32"/>
        <v>-568.9</v>
      </c>
      <c r="D99" s="60">
        <f t="shared" ref="D99" si="33">D75</f>
        <v>-574.79999999999995</v>
      </c>
      <c r="E99" s="60">
        <f t="shared" ref="E99:AF99" si="34">E75</f>
        <v>-591</v>
      </c>
      <c r="F99" s="60">
        <f t="shared" si="34"/>
        <v>-622.20000000000005</v>
      </c>
      <c r="G99" s="60">
        <f t="shared" si="34"/>
        <v>-649.5</v>
      </c>
      <c r="H99" s="60">
        <f t="shared" si="34"/>
        <v>-654.1</v>
      </c>
      <c r="I99" s="60">
        <f t="shared" si="34"/>
        <v>-633</v>
      </c>
      <c r="J99" s="60">
        <f t="shared" si="34"/>
        <v>-605.29999999999995</v>
      </c>
      <c r="K99" s="60">
        <f t="shared" si="34"/>
        <v>-613.70000000000005</v>
      </c>
      <c r="L99" s="60">
        <f t="shared" si="34"/>
        <v>-633.29999999999995</v>
      </c>
      <c r="M99" s="60">
        <f t="shared" si="34"/>
        <v>-650</v>
      </c>
      <c r="N99" s="60">
        <f t="shared" si="34"/>
        <v>-630</v>
      </c>
      <c r="O99" s="60">
        <f t="shared" si="34"/>
        <v>-580</v>
      </c>
      <c r="P99" s="60">
        <f t="shared" si="34"/>
        <v>-556</v>
      </c>
      <c r="Q99" s="60">
        <f t="shared" si="34"/>
        <v>-560</v>
      </c>
      <c r="R99" s="60">
        <f t="shared" si="34"/>
        <v>-600</v>
      </c>
      <c r="S99" s="60">
        <f t="shared" si="34"/>
        <v>-579.1</v>
      </c>
      <c r="T99" s="60">
        <f t="shared" si="34"/>
        <v>-600.4</v>
      </c>
      <c r="U99" s="60">
        <f t="shared" si="34"/>
        <v>-595</v>
      </c>
      <c r="V99" s="60">
        <f t="shared" si="34"/>
        <v>-569</v>
      </c>
      <c r="W99" s="60">
        <f t="shared" si="34"/>
        <v>-540</v>
      </c>
      <c r="X99" s="60">
        <f t="shared" si="34"/>
        <v>-563.9</v>
      </c>
      <c r="Y99" s="60">
        <f t="shared" si="34"/>
        <v>-598.29999999999995</v>
      </c>
      <c r="Z99" s="60">
        <f t="shared" si="34"/>
        <v>-543.6</v>
      </c>
      <c r="AA99" s="60">
        <f t="shared" si="34"/>
        <v>-544.6</v>
      </c>
      <c r="AB99" s="60">
        <f t="shared" si="34"/>
        <v>-547</v>
      </c>
      <c r="AC99" s="60">
        <f t="shared" si="34"/>
        <v>-568</v>
      </c>
      <c r="AD99" s="60">
        <f t="shared" si="34"/>
        <v>-607</v>
      </c>
      <c r="AE99" s="60">
        <f t="shared" si="34"/>
        <v>-605</v>
      </c>
      <c r="AF99" s="60">
        <f t="shared" si="34"/>
        <v>-610</v>
      </c>
      <c r="AG99" s="87"/>
      <c r="AH99" s="47">
        <f t="shared" si="18"/>
        <v>-540</v>
      </c>
      <c r="AI99" s="48">
        <f t="shared" si="19"/>
        <v>-654.1</v>
      </c>
      <c r="AK99" s="50"/>
    </row>
    <row r="100" spans="1:37" ht="15.75" thickBot="1" x14ac:dyDescent="0.3">
      <c r="A100" s="73" t="s">
        <v>108</v>
      </c>
      <c r="B100" s="60">
        <f t="shared" ref="B100:C100" si="35">B84-B99</f>
        <v>603.20000000000005</v>
      </c>
      <c r="C100" s="60">
        <f t="shared" si="35"/>
        <v>568.9</v>
      </c>
      <c r="D100" s="60">
        <f t="shared" ref="D100" si="36">D84-D99</f>
        <v>574.79999999999995</v>
      </c>
      <c r="E100" s="60">
        <f t="shared" ref="E100:AF100" si="37">E84-E99</f>
        <v>591</v>
      </c>
      <c r="F100" s="60">
        <f t="shared" si="37"/>
        <v>622.20000000000005</v>
      </c>
      <c r="G100" s="60">
        <f t="shared" si="37"/>
        <v>649.5</v>
      </c>
      <c r="H100" s="60">
        <f t="shared" si="37"/>
        <v>654.1</v>
      </c>
      <c r="I100" s="60">
        <f t="shared" si="37"/>
        <v>633</v>
      </c>
      <c r="J100" s="60">
        <f t="shared" si="37"/>
        <v>605.29999999999995</v>
      </c>
      <c r="K100" s="60">
        <f t="shared" si="37"/>
        <v>613.70000000000005</v>
      </c>
      <c r="L100" s="60">
        <f t="shared" si="37"/>
        <v>633.29999999999995</v>
      </c>
      <c r="M100" s="60">
        <f t="shared" si="37"/>
        <v>650</v>
      </c>
      <c r="N100" s="60">
        <f t="shared" si="37"/>
        <v>630</v>
      </c>
      <c r="O100" s="60">
        <f t="shared" si="37"/>
        <v>580</v>
      </c>
      <c r="P100" s="60">
        <f t="shared" si="37"/>
        <v>556</v>
      </c>
      <c r="Q100" s="60">
        <f t="shared" si="37"/>
        <v>560</v>
      </c>
      <c r="R100" s="60">
        <f t="shared" si="37"/>
        <v>600</v>
      </c>
      <c r="S100" s="60">
        <f t="shared" si="37"/>
        <v>579.1</v>
      </c>
      <c r="T100" s="60">
        <f t="shared" si="37"/>
        <v>600.4</v>
      </c>
      <c r="U100" s="60">
        <f t="shared" si="37"/>
        <v>595</v>
      </c>
      <c r="V100" s="60">
        <f t="shared" si="37"/>
        <v>569</v>
      </c>
      <c r="W100" s="60">
        <f t="shared" si="37"/>
        <v>540</v>
      </c>
      <c r="X100" s="60">
        <f t="shared" si="37"/>
        <v>563.9</v>
      </c>
      <c r="Y100" s="60">
        <f t="shared" si="37"/>
        <v>598.29999999999995</v>
      </c>
      <c r="Z100" s="60">
        <f t="shared" si="37"/>
        <v>543.6</v>
      </c>
      <c r="AA100" s="60">
        <f t="shared" si="37"/>
        <v>544.6</v>
      </c>
      <c r="AB100" s="60">
        <f t="shared" si="37"/>
        <v>547</v>
      </c>
      <c r="AC100" s="60">
        <f t="shared" si="37"/>
        <v>568</v>
      </c>
      <c r="AD100" s="60">
        <f t="shared" si="37"/>
        <v>607</v>
      </c>
      <c r="AE100" s="60">
        <f t="shared" si="37"/>
        <v>605</v>
      </c>
      <c r="AF100" s="60">
        <f t="shared" si="37"/>
        <v>610</v>
      </c>
      <c r="AG100" s="87"/>
      <c r="AH100" s="47">
        <f t="shared" si="18"/>
        <v>654.1</v>
      </c>
      <c r="AI100" s="48">
        <f t="shared" si="19"/>
        <v>540</v>
      </c>
    </row>
    <row r="101" spans="1:37" x14ac:dyDescent="0.25">
      <c r="A101" s="99" t="s">
        <v>109</v>
      </c>
      <c r="B101" s="100">
        <v>49.98</v>
      </c>
      <c r="C101" s="100">
        <v>50.011000000000003</v>
      </c>
      <c r="D101" s="100">
        <v>50.02</v>
      </c>
      <c r="E101" s="100">
        <v>50.036999999999999</v>
      </c>
      <c r="F101" s="100">
        <v>50.027000000000001</v>
      </c>
      <c r="G101" s="100">
        <v>50.029000000000003</v>
      </c>
      <c r="H101" s="100">
        <v>50.05</v>
      </c>
      <c r="I101" s="100">
        <v>50.094000000000001</v>
      </c>
      <c r="J101" s="100">
        <v>50.024999999999999</v>
      </c>
      <c r="K101" s="100">
        <v>50.042999999999999</v>
      </c>
      <c r="L101" s="100">
        <v>50.08</v>
      </c>
      <c r="M101" s="100">
        <v>50.08</v>
      </c>
      <c r="N101" s="100">
        <v>50.05</v>
      </c>
      <c r="O101" s="100">
        <v>50.072000000000003</v>
      </c>
      <c r="P101" s="100"/>
      <c r="Q101" s="100">
        <v>50.006999999999998</v>
      </c>
      <c r="R101" s="100">
        <v>50.006999999999998</v>
      </c>
      <c r="S101" s="100">
        <v>49.906999999999996</v>
      </c>
      <c r="T101" s="100">
        <v>49.960999999999999</v>
      </c>
      <c r="U101" s="100">
        <v>50.01</v>
      </c>
      <c r="V101" s="100">
        <v>49.83</v>
      </c>
      <c r="W101" s="100">
        <v>50.030999999999999</v>
      </c>
      <c r="X101" s="100">
        <v>49.878</v>
      </c>
      <c r="Y101" s="100">
        <v>50.031999999999996</v>
      </c>
      <c r="Z101" s="100">
        <v>50.02</v>
      </c>
      <c r="AA101" s="100">
        <v>50.06</v>
      </c>
      <c r="AB101" s="100">
        <v>50.067</v>
      </c>
      <c r="AC101" s="100">
        <v>50.033000000000001</v>
      </c>
      <c r="AD101" s="100">
        <v>50</v>
      </c>
      <c r="AE101" s="100">
        <v>49.9</v>
      </c>
      <c r="AF101" s="100">
        <v>49.8</v>
      </c>
      <c r="AG101" s="101"/>
      <c r="AH101" s="47">
        <f t="shared" si="18"/>
        <v>50.094000000000001</v>
      </c>
      <c r="AI101" s="48">
        <f t="shared" si="19"/>
        <v>49.8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18"/>
        <v>0</v>
      </c>
      <c r="AI102" s="48">
        <f t="shared" si="19"/>
        <v>0</v>
      </c>
    </row>
    <row r="103" spans="1:37" x14ac:dyDescent="0.25">
      <c r="A103" s="102" t="s">
        <v>111</v>
      </c>
      <c r="B103" s="64">
        <v>129.9</v>
      </c>
      <c r="C103" s="64">
        <v>128.69999999999999</v>
      </c>
      <c r="D103" s="64">
        <v>131.30000000000001</v>
      </c>
      <c r="E103" s="64">
        <v>128.9</v>
      </c>
      <c r="F103" s="64">
        <v>129.5</v>
      </c>
      <c r="G103" s="64">
        <v>129.9</v>
      </c>
      <c r="H103" s="64">
        <v>130.19999999999999</v>
      </c>
      <c r="I103" s="64">
        <v>129.6</v>
      </c>
      <c r="J103" s="64">
        <v>128.9</v>
      </c>
      <c r="K103" s="64">
        <v>127.2</v>
      </c>
      <c r="L103" s="64">
        <v>128</v>
      </c>
      <c r="M103" s="64">
        <v>128</v>
      </c>
      <c r="N103" s="64">
        <v>129</v>
      </c>
      <c r="O103" s="64">
        <v>130</v>
      </c>
      <c r="P103" s="64"/>
      <c r="Q103" s="64">
        <v>128</v>
      </c>
      <c r="R103" s="64">
        <v>128</v>
      </c>
      <c r="S103" s="64">
        <v>127.8</v>
      </c>
      <c r="T103" s="64">
        <v>128.69999999999999</v>
      </c>
      <c r="U103" s="64">
        <v>128.69999999999999</v>
      </c>
      <c r="V103" s="64">
        <v>129</v>
      </c>
      <c r="W103" s="64">
        <v>129.4</v>
      </c>
      <c r="X103" s="64">
        <v>129</v>
      </c>
      <c r="Y103" s="64">
        <v>128.6</v>
      </c>
      <c r="Z103" s="64">
        <v>129</v>
      </c>
      <c r="AA103" s="64">
        <v>130.30000000000001</v>
      </c>
      <c r="AB103" s="64">
        <v>131.5</v>
      </c>
      <c r="AC103" s="64">
        <v>130.19999999999999</v>
      </c>
      <c r="AD103" s="64">
        <v>130.19999999999999</v>
      </c>
      <c r="AE103" s="64">
        <v>130.19999999999999</v>
      </c>
      <c r="AF103" s="64">
        <v>130.19999999999999</v>
      </c>
      <c r="AG103" s="103"/>
      <c r="AH103" s="47">
        <f t="shared" si="18"/>
        <v>131.5</v>
      </c>
      <c r="AI103" s="48">
        <f t="shared" si="19"/>
        <v>127.2</v>
      </c>
    </row>
    <row r="104" spans="1:37" x14ac:dyDescent="0.25">
      <c r="A104" s="102" t="s">
        <v>112</v>
      </c>
      <c r="B104" s="64">
        <v>128.80000000000001</v>
      </c>
      <c r="C104" s="64">
        <v>129.69999999999999</v>
      </c>
      <c r="D104" s="64">
        <v>130.69999999999999</v>
      </c>
      <c r="E104" s="64">
        <v>129.30000000000001</v>
      </c>
      <c r="F104" s="64">
        <v>130.6</v>
      </c>
      <c r="G104" s="64">
        <v>129.80000000000001</v>
      </c>
      <c r="H104" s="64">
        <v>131.4</v>
      </c>
      <c r="I104" s="64">
        <v>129.19999999999999</v>
      </c>
      <c r="J104" s="64">
        <v>129.1</v>
      </c>
      <c r="K104" s="64">
        <v>128.5</v>
      </c>
      <c r="L104" s="64">
        <v>129.69999999999999</v>
      </c>
      <c r="M104" s="64">
        <v>129.69999999999999</v>
      </c>
      <c r="N104" s="64">
        <v>128</v>
      </c>
      <c r="O104" s="64">
        <v>130.9</v>
      </c>
      <c r="P104" s="64"/>
      <c r="Q104" s="64">
        <v>128.9</v>
      </c>
      <c r="R104" s="64">
        <v>128.9</v>
      </c>
      <c r="S104" s="64">
        <v>129.9</v>
      </c>
      <c r="T104" s="64">
        <v>129.4</v>
      </c>
      <c r="U104" s="64">
        <v>127.7</v>
      </c>
      <c r="V104" s="64">
        <v>128</v>
      </c>
      <c r="W104" s="64">
        <v>127.2</v>
      </c>
      <c r="X104" s="64">
        <v>127.3</v>
      </c>
      <c r="Y104" s="64">
        <v>128.80000000000001</v>
      </c>
      <c r="Z104" s="64">
        <v>126.8</v>
      </c>
      <c r="AA104" s="64">
        <v>129.69999999999999</v>
      </c>
      <c r="AB104" s="64">
        <v>130</v>
      </c>
      <c r="AC104" s="64">
        <v>129.69999999999999</v>
      </c>
      <c r="AD104" s="64">
        <v>129.69999999999999</v>
      </c>
      <c r="AE104" s="64">
        <v>129.69999999999999</v>
      </c>
      <c r="AF104" s="64">
        <v>129.69999999999999</v>
      </c>
      <c r="AG104" s="103"/>
      <c r="AH104" s="47">
        <f t="shared" si="18"/>
        <v>131.4</v>
      </c>
      <c r="AI104" s="48">
        <f t="shared" si="19"/>
        <v>126.8</v>
      </c>
    </row>
    <row r="105" spans="1:37" x14ac:dyDescent="0.25">
      <c r="A105" s="104" t="s">
        <v>113</v>
      </c>
      <c r="B105" s="64">
        <v>132.4</v>
      </c>
      <c r="C105" s="64">
        <v>133.19999999999999</v>
      </c>
      <c r="D105" s="64">
        <v>134</v>
      </c>
      <c r="E105" s="64">
        <v>133.5</v>
      </c>
      <c r="F105" s="64">
        <v>133.80000000000001</v>
      </c>
      <c r="G105" s="64">
        <v>133.69999999999999</v>
      </c>
      <c r="H105" s="64">
        <v>134.9</v>
      </c>
      <c r="I105" s="64">
        <v>132.80000000000001</v>
      </c>
      <c r="J105" s="64">
        <v>132</v>
      </c>
      <c r="K105" s="64">
        <v>132.1</v>
      </c>
      <c r="L105" s="64">
        <v>133.6</v>
      </c>
      <c r="M105" s="64">
        <v>133.6</v>
      </c>
      <c r="N105" s="64">
        <v>134</v>
      </c>
      <c r="O105" s="64">
        <v>131.69999999999999</v>
      </c>
      <c r="P105" s="64"/>
      <c r="Q105" s="64">
        <v>130.80000000000001</v>
      </c>
      <c r="R105" s="64">
        <v>130.80000000000001</v>
      </c>
      <c r="S105" s="64">
        <v>131.6</v>
      </c>
      <c r="T105" s="64">
        <v>131.30000000000001</v>
      </c>
      <c r="U105" s="64">
        <v>130.80000000000001</v>
      </c>
      <c r="V105" s="64">
        <v>130</v>
      </c>
      <c r="W105" s="64">
        <v>128.6</v>
      </c>
      <c r="X105" s="64">
        <v>130.4</v>
      </c>
      <c r="Y105" s="64">
        <v>131.6</v>
      </c>
      <c r="Z105" s="64">
        <v>130.69999999999999</v>
      </c>
      <c r="AA105" s="64">
        <v>133.80000000000001</v>
      </c>
      <c r="AB105" s="64">
        <v>134.30000000000001</v>
      </c>
      <c r="AC105" s="64">
        <v>134.30000000000001</v>
      </c>
      <c r="AD105" s="64">
        <v>134.30000000000001</v>
      </c>
      <c r="AE105" s="64">
        <v>134.30000000000001</v>
      </c>
      <c r="AF105" s="64">
        <v>134.30000000000001</v>
      </c>
      <c r="AG105" s="103"/>
      <c r="AH105" s="47">
        <f t="shared" si="18"/>
        <v>134.9</v>
      </c>
      <c r="AI105" s="48">
        <f t="shared" si="19"/>
        <v>128.6</v>
      </c>
    </row>
    <row r="106" spans="1:37" x14ac:dyDescent="0.25">
      <c r="A106" s="104" t="s">
        <v>114</v>
      </c>
      <c r="B106" s="105">
        <v>130.6</v>
      </c>
      <c r="C106" s="105">
        <v>131.5</v>
      </c>
      <c r="D106" s="105">
        <v>136.5</v>
      </c>
      <c r="E106" s="105">
        <v>128.80000000000001</v>
      </c>
      <c r="F106" s="105">
        <v>132.4</v>
      </c>
      <c r="G106" s="105">
        <v>132.4</v>
      </c>
      <c r="H106" s="105">
        <v>132.6</v>
      </c>
      <c r="I106" s="105">
        <v>135.4</v>
      </c>
      <c r="J106" s="105">
        <v>134.80000000000001</v>
      </c>
      <c r="K106" s="105">
        <v>134</v>
      </c>
      <c r="L106" s="105">
        <v>133.4</v>
      </c>
      <c r="M106" s="105">
        <v>133.4</v>
      </c>
      <c r="N106" s="105">
        <v>132</v>
      </c>
      <c r="O106" s="105">
        <v>136</v>
      </c>
      <c r="P106" s="105"/>
      <c r="Q106" s="105">
        <v>134.6</v>
      </c>
      <c r="R106" s="105">
        <v>134.6</v>
      </c>
      <c r="S106" s="105">
        <v>132.9</v>
      </c>
      <c r="T106" s="105">
        <v>131.1</v>
      </c>
      <c r="U106" s="105">
        <v>132</v>
      </c>
      <c r="V106" s="105">
        <v>134</v>
      </c>
      <c r="W106" s="105">
        <v>134.9</v>
      </c>
      <c r="X106" s="105">
        <v>132</v>
      </c>
      <c r="Y106" s="105">
        <v>132.9</v>
      </c>
      <c r="Z106" s="105">
        <v>133.9</v>
      </c>
      <c r="AA106" s="105">
        <v>133.6</v>
      </c>
      <c r="AB106" s="105">
        <v>133.9</v>
      </c>
      <c r="AC106" s="105">
        <v>133</v>
      </c>
      <c r="AD106" s="105">
        <v>133</v>
      </c>
      <c r="AE106" s="105">
        <v>133</v>
      </c>
      <c r="AF106" s="105">
        <v>133</v>
      </c>
      <c r="AG106" s="106"/>
      <c r="AH106" s="47">
        <f t="shared" si="18"/>
        <v>136.5</v>
      </c>
      <c r="AI106" s="48">
        <f t="shared" si="19"/>
        <v>128.80000000000001</v>
      </c>
    </row>
    <row r="107" spans="1:37" x14ac:dyDescent="0.25">
      <c r="A107" s="102" t="s">
        <v>115</v>
      </c>
      <c r="B107" s="64">
        <v>131.19999999999999</v>
      </c>
      <c r="C107" s="64">
        <v>133.80000000000001</v>
      </c>
      <c r="D107" s="64">
        <v>135.19999999999999</v>
      </c>
      <c r="E107" s="64">
        <v>129.69999999999999</v>
      </c>
      <c r="F107" s="64">
        <v>135.1</v>
      </c>
      <c r="G107" s="64">
        <v>133.4</v>
      </c>
      <c r="H107" s="64">
        <v>133.69999999999999</v>
      </c>
      <c r="I107" s="64">
        <v>135.80000000000001</v>
      </c>
      <c r="J107" s="64">
        <v>134.30000000000001</v>
      </c>
      <c r="K107" s="64">
        <v>132.4</v>
      </c>
      <c r="L107" s="64">
        <v>133.30000000000001</v>
      </c>
      <c r="M107" s="64">
        <v>132</v>
      </c>
      <c r="N107" s="64">
        <v>133</v>
      </c>
      <c r="O107" s="64">
        <v>133.30000000000001</v>
      </c>
      <c r="P107" s="64"/>
      <c r="Q107" s="64">
        <v>134.4</v>
      </c>
      <c r="R107" s="64">
        <v>134.4</v>
      </c>
      <c r="S107" s="64">
        <v>131.1</v>
      </c>
      <c r="T107" s="64">
        <v>128.5</v>
      </c>
      <c r="U107" s="64">
        <v>132</v>
      </c>
      <c r="V107" s="64">
        <v>130.69999999999999</v>
      </c>
      <c r="W107" s="64">
        <v>131.69999999999999</v>
      </c>
      <c r="X107" s="64">
        <v>129.30000000000001</v>
      </c>
      <c r="Y107" s="64">
        <v>133</v>
      </c>
      <c r="Z107" s="64">
        <v>133</v>
      </c>
      <c r="AA107" s="64">
        <v>132.1</v>
      </c>
      <c r="AB107" s="64">
        <v>133.9</v>
      </c>
      <c r="AC107" s="64">
        <v>132.9</v>
      </c>
      <c r="AD107" s="64">
        <v>132.9</v>
      </c>
      <c r="AE107" s="64">
        <v>132.9</v>
      </c>
      <c r="AF107" s="64">
        <v>132.9</v>
      </c>
      <c r="AG107" s="103"/>
      <c r="AH107" s="47">
        <f t="shared" si="18"/>
        <v>135.80000000000001</v>
      </c>
      <c r="AI107" s="48">
        <f t="shared" si="19"/>
        <v>128.5</v>
      </c>
    </row>
    <row r="108" spans="1:37" ht="15.75" thickBot="1" x14ac:dyDescent="0.3">
      <c r="A108" s="102" t="s">
        <v>116</v>
      </c>
      <c r="B108" s="91">
        <v>65.2</v>
      </c>
      <c r="C108" s="91">
        <v>64.5</v>
      </c>
      <c r="D108" s="91">
        <v>65.900000000000006</v>
      </c>
      <c r="E108" s="91">
        <v>64.7</v>
      </c>
      <c r="F108" s="91">
        <v>65</v>
      </c>
      <c r="G108" s="91">
        <v>65.3</v>
      </c>
      <c r="H108" s="91">
        <v>65.3</v>
      </c>
      <c r="I108" s="91">
        <v>64.900000000000006</v>
      </c>
      <c r="J108" s="91">
        <v>64.7</v>
      </c>
      <c r="K108" s="91">
        <v>64.099999999999994</v>
      </c>
      <c r="L108" s="91">
        <v>64.3</v>
      </c>
      <c r="M108" s="91">
        <v>64.3</v>
      </c>
      <c r="N108" s="91">
        <v>64.3</v>
      </c>
      <c r="O108" s="91">
        <v>64.3</v>
      </c>
      <c r="P108" s="91"/>
      <c r="Q108" s="91">
        <v>64.3</v>
      </c>
      <c r="R108" s="91">
        <v>64.3</v>
      </c>
      <c r="S108" s="91">
        <v>64.3</v>
      </c>
      <c r="T108" s="91">
        <v>64.5</v>
      </c>
      <c r="U108" s="91">
        <v>64.400000000000006</v>
      </c>
      <c r="V108" s="91">
        <v>65</v>
      </c>
      <c r="W108" s="91">
        <v>65.099999999999994</v>
      </c>
      <c r="X108" s="91">
        <v>64.5</v>
      </c>
      <c r="Y108" s="91">
        <v>64.599999999999994</v>
      </c>
      <c r="Z108" s="91">
        <v>64.599999999999994</v>
      </c>
      <c r="AA108" s="91">
        <v>65.3</v>
      </c>
      <c r="AB108" s="91">
        <v>65.900000000000006</v>
      </c>
      <c r="AC108" s="91">
        <v>65.2</v>
      </c>
      <c r="AD108" s="91">
        <v>65.2</v>
      </c>
      <c r="AE108" s="91">
        <v>65.2</v>
      </c>
      <c r="AF108" s="91">
        <v>65.2</v>
      </c>
      <c r="AG108" s="107"/>
      <c r="AH108" s="47">
        <f t="shared" si="18"/>
        <v>65.900000000000006</v>
      </c>
      <c r="AI108" s="48">
        <f t="shared" si="19"/>
        <v>64.099999999999994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18"/>
        <v>0</v>
      </c>
      <c r="AI109" s="48">
        <f t="shared" si="19"/>
        <v>0</v>
      </c>
    </row>
    <row r="110" spans="1:37" ht="15.75" thickBot="1" x14ac:dyDescent="0.3">
      <c r="A110" s="109" t="s">
        <v>118</v>
      </c>
      <c r="B110" s="110">
        <f t="shared" ref="B110" si="38">SUM(B20,B26,B29:B30,B58,B60:B61,B63,B65,B111:B115,B138,B144,B150,B159,B161,B173,B180,B183:B184,B191,B193,B195,B199:B201,B203:B205,B210,B216:B217,B219:B221,B229,B234)</f>
        <v>60.900000000000013</v>
      </c>
      <c r="C110" s="110">
        <f t="shared" ref="C110:O110" si="39">SUM(C20,C26,C29:C30,C58,C60:C61,C63,C65,C111:C115,C138,C144,C150,C159,C161,C173,C180,C183:C184,C191,C193,C195,C199:C201,C203:C205,C210,C216:C217,C219:C221,C229,C234)</f>
        <v>48.840000000000011</v>
      </c>
      <c r="D110" s="110">
        <f t="shared" ref="D110" si="40">SUM(D20,D26,D29:D30,D58,D60:D61,D63,D65,D111:D115,D138,D144,D150,D159,D161,D173,D180,D183:D184,D191,D193,D195,D199:D201,D203:D205,D210,D216:D217,D219:D221,D229,D234)</f>
        <v>40.739999999999995</v>
      </c>
      <c r="E110" s="110">
        <f t="shared" si="39"/>
        <v>35.940000000000005</v>
      </c>
      <c r="F110" s="110">
        <f t="shared" si="39"/>
        <v>40.840000000000018</v>
      </c>
      <c r="G110" s="110">
        <f t="shared" si="39"/>
        <v>59.34</v>
      </c>
      <c r="H110" s="110">
        <f t="shared" si="39"/>
        <v>79.239999999999995</v>
      </c>
      <c r="I110" s="110">
        <f t="shared" si="39"/>
        <v>106.74000000000004</v>
      </c>
      <c r="J110" s="110">
        <f t="shared" si="39"/>
        <v>141.44000000000005</v>
      </c>
      <c r="K110" s="110">
        <f t="shared" si="39"/>
        <v>180.53999999999996</v>
      </c>
      <c r="L110" s="110">
        <f t="shared" si="39"/>
        <v>205.03999999999996</v>
      </c>
      <c r="M110" s="110">
        <f t="shared" si="39"/>
        <v>185.14</v>
      </c>
      <c r="N110" s="110">
        <f t="shared" si="39"/>
        <v>176.14</v>
      </c>
      <c r="O110" s="110">
        <f t="shared" si="39"/>
        <v>165.14</v>
      </c>
      <c r="P110" s="110">
        <v>42</v>
      </c>
      <c r="Q110" s="110">
        <f t="shared" ref="Q110:AF110" si="41">SUM(Q20,Q26,Q29:Q30,Q58,Q60:Q61,Q63,Q65,Q111:Q115,Q138,Q144,Q150,Q159,Q161,Q173,Q180,Q183:Q184,Q191,Q193,Q195,Q199:Q201,Q203:Q205,Q210,Q216:Q217,Q219:Q221,Q229,Q234)</f>
        <v>133.19999999999999</v>
      </c>
      <c r="R110" s="110">
        <f t="shared" si="41"/>
        <v>133.19999999999999</v>
      </c>
      <c r="S110" s="110">
        <f t="shared" si="41"/>
        <v>137.5</v>
      </c>
      <c r="T110" s="110">
        <f t="shared" si="41"/>
        <v>141.39999999999998</v>
      </c>
      <c r="U110" s="110">
        <f t="shared" si="41"/>
        <v>122.69999999999999</v>
      </c>
      <c r="V110" s="110">
        <f t="shared" si="41"/>
        <v>127.80000000000001</v>
      </c>
      <c r="W110" s="110">
        <f t="shared" si="41"/>
        <v>191.29999999999998</v>
      </c>
      <c r="X110" s="110">
        <f t="shared" si="41"/>
        <v>277.89999999999998</v>
      </c>
      <c r="Y110" s="110">
        <v>281.5675</v>
      </c>
      <c r="Z110" s="110">
        <f t="shared" si="41"/>
        <v>262.89999999999998</v>
      </c>
      <c r="AA110" s="110">
        <f t="shared" si="41"/>
        <v>235.79999999999998</v>
      </c>
      <c r="AB110" s="110">
        <f t="shared" si="41"/>
        <v>208.49999999999997</v>
      </c>
      <c r="AC110" s="110">
        <f t="shared" si="41"/>
        <v>173.8</v>
      </c>
      <c r="AD110" s="110"/>
      <c r="AE110" s="110">
        <f t="shared" si="41"/>
        <v>98.240000000000009</v>
      </c>
      <c r="AF110" s="110">
        <f t="shared" si="41"/>
        <v>68.240000000000009</v>
      </c>
      <c r="AG110" s="111"/>
      <c r="AH110" s="47">
        <f t="shared" si="18"/>
        <v>281.5675</v>
      </c>
      <c r="AI110" s="48">
        <f t="shared" si="19"/>
        <v>35.940000000000005</v>
      </c>
    </row>
    <row r="111" spans="1:37" x14ac:dyDescent="0.25">
      <c r="A111" s="99" t="s">
        <v>119</v>
      </c>
      <c r="B111" s="112">
        <v>55.4</v>
      </c>
      <c r="C111" s="112">
        <v>55.3</v>
      </c>
      <c r="D111" s="112">
        <v>48.7</v>
      </c>
      <c r="E111" s="112">
        <v>49.8</v>
      </c>
      <c r="F111" s="112">
        <v>51</v>
      </c>
      <c r="G111" s="112">
        <v>48.9</v>
      </c>
      <c r="H111" s="112">
        <v>46.9</v>
      </c>
      <c r="I111" s="112">
        <v>52.7</v>
      </c>
      <c r="J111" s="112">
        <v>51.4</v>
      </c>
      <c r="K111" s="112">
        <v>76.3</v>
      </c>
      <c r="L111" s="112">
        <v>77</v>
      </c>
      <c r="M111" s="112">
        <v>38</v>
      </c>
      <c r="N111" s="112">
        <v>32</v>
      </c>
      <c r="O111" s="112">
        <v>34</v>
      </c>
      <c r="P111" s="112"/>
      <c r="Q111" s="112">
        <v>49</v>
      </c>
      <c r="R111" s="112">
        <v>49</v>
      </c>
      <c r="S111" s="112">
        <v>45</v>
      </c>
      <c r="T111" s="112">
        <v>45.2</v>
      </c>
      <c r="U111" s="112">
        <v>45.2</v>
      </c>
      <c r="V111" s="112">
        <v>49.9</v>
      </c>
      <c r="W111" s="112">
        <v>52.5</v>
      </c>
      <c r="X111" s="112">
        <v>55.1</v>
      </c>
      <c r="Y111" s="112">
        <v>58.4</v>
      </c>
      <c r="Z111" s="112">
        <v>57.6</v>
      </c>
      <c r="AA111" s="112">
        <v>52.1</v>
      </c>
      <c r="AB111" s="112">
        <v>54.9</v>
      </c>
      <c r="AC111" s="112">
        <v>55.7</v>
      </c>
      <c r="AD111" s="112">
        <v>47.8</v>
      </c>
      <c r="AE111" s="112">
        <v>39</v>
      </c>
      <c r="AF111" s="112">
        <v>30</v>
      </c>
      <c r="AG111" s="113">
        <v>75</v>
      </c>
      <c r="AH111" s="47">
        <f t="shared" si="18"/>
        <v>77</v>
      </c>
      <c r="AI111" s="48">
        <f t="shared" si="19"/>
        <v>30</v>
      </c>
    </row>
    <row r="112" spans="1:37" x14ac:dyDescent="0.25">
      <c r="A112" s="102" t="s">
        <v>120</v>
      </c>
      <c r="B112" s="114">
        <v>81</v>
      </c>
      <c r="C112" s="114">
        <v>80.099999999999994</v>
      </c>
      <c r="D112" s="114">
        <v>70.400000000000006</v>
      </c>
      <c r="E112" s="114">
        <v>70.900000000000006</v>
      </c>
      <c r="F112" s="114">
        <v>72.900000000000006</v>
      </c>
      <c r="G112" s="114">
        <v>69</v>
      </c>
      <c r="H112" s="114">
        <v>65</v>
      </c>
      <c r="I112" s="114">
        <v>74.900000000000006</v>
      </c>
      <c r="J112" s="114">
        <v>71.7</v>
      </c>
      <c r="K112" s="114">
        <v>105.4</v>
      </c>
      <c r="L112" s="114">
        <v>107.2</v>
      </c>
      <c r="M112" s="114">
        <v>45</v>
      </c>
      <c r="N112" s="114">
        <v>46</v>
      </c>
      <c r="O112" s="114">
        <v>44</v>
      </c>
      <c r="P112" s="114"/>
      <c r="Q112" s="114">
        <v>63</v>
      </c>
      <c r="R112" s="114">
        <v>63</v>
      </c>
      <c r="S112" s="114">
        <v>56.4</v>
      </c>
      <c r="T112" s="114">
        <v>57.3</v>
      </c>
      <c r="U112" s="114">
        <v>57.3</v>
      </c>
      <c r="V112" s="114">
        <v>61.7</v>
      </c>
      <c r="W112" s="114">
        <v>67.900000000000006</v>
      </c>
      <c r="X112" s="114">
        <v>72.599999999999994</v>
      </c>
      <c r="Y112" s="114">
        <v>77.3</v>
      </c>
      <c r="Z112" s="114">
        <v>76.2</v>
      </c>
      <c r="AA112" s="114">
        <v>69.099999999999994</v>
      </c>
      <c r="AB112" s="114">
        <v>74.3</v>
      </c>
      <c r="AC112" s="114">
        <v>74.599999999999994</v>
      </c>
      <c r="AD112" s="114">
        <v>65.2</v>
      </c>
      <c r="AE112" s="114">
        <v>52</v>
      </c>
      <c r="AF112" s="114">
        <v>42</v>
      </c>
      <c r="AG112" s="113">
        <v>240</v>
      </c>
      <c r="AH112" s="47">
        <f t="shared" si="18"/>
        <v>107.2</v>
      </c>
      <c r="AI112" s="48">
        <f t="shared" si="19"/>
        <v>42</v>
      </c>
    </row>
    <row r="113" spans="1:37" x14ac:dyDescent="0.25">
      <c r="A113" s="102" t="s">
        <v>121</v>
      </c>
      <c r="B113" s="114">
        <f>-93.1-97.1</f>
        <v>-190.2</v>
      </c>
      <c r="C113" s="114">
        <f>-97.6-101.6</f>
        <v>-199.2</v>
      </c>
      <c r="D113" s="114">
        <f>-93.5-95.1</f>
        <v>-188.6</v>
      </c>
      <c r="E113" s="114">
        <f>-95-98.3</f>
        <v>-193.3</v>
      </c>
      <c r="F113" s="114">
        <f>-94.3-97.9</f>
        <v>-192.2</v>
      </c>
      <c r="G113" s="114">
        <f>-82.9-86.6</f>
        <v>-169.5</v>
      </c>
      <c r="H113" s="114">
        <f>-71-74.9</f>
        <v>-145.9</v>
      </c>
      <c r="I113" s="114">
        <f>-70.2-73.8</f>
        <v>-144</v>
      </c>
      <c r="J113" s="114">
        <f>-53.8-57.9</f>
        <v>-111.69999999999999</v>
      </c>
      <c r="K113" s="114">
        <f>-67.6-73</f>
        <v>-140.6</v>
      </c>
      <c r="L113" s="114">
        <f>-62.1-66.3</f>
        <v>-128.4</v>
      </c>
      <c r="M113" s="114">
        <v>-37</v>
      </c>
      <c r="N113" s="114">
        <v>-39</v>
      </c>
      <c r="O113" s="114">
        <v>-37</v>
      </c>
      <c r="P113" s="114"/>
      <c r="Q113" s="114">
        <v>-100</v>
      </c>
      <c r="R113" s="114">
        <v>-100</v>
      </c>
      <c r="S113" s="114">
        <f>-46-49</f>
        <v>-95</v>
      </c>
      <c r="T113" s="114">
        <f>-42-45</f>
        <v>-87</v>
      </c>
      <c r="U113" s="114">
        <f>-30-81</f>
        <v>-111</v>
      </c>
      <c r="V113" s="114">
        <f>-30-81</f>
        <v>-111</v>
      </c>
      <c r="W113" s="114">
        <f>-29-32</f>
        <v>-61</v>
      </c>
      <c r="X113" s="114">
        <f>-16-23</f>
        <v>-39</v>
      </c>
      <c r="Y113" s="114">
        <v>-45</v>
      </c>
      <c r="Z113" s="114">
        <f>-17-24</f>
        <v>-41</v>
      </c>
      <c r="AA113" s="114">
        <f>-27-34</f>
        <v>-61</v>
      </c>
      <c r="AB113" s="114">
        <v>-85</v>
      </c>
      <c r="AC113" s="114">
        <v>-108</v>
      </c>
      <c r="AD113" s="114">
        <v>-140</v>
      </c>
      <c r="AE113" s="114">
        <v>-147</v>
      </c>
      <c r="AF113" s="114">
        <v>-145</v>
      </c>
      <c r="AG113" s="113">
        <v>240</v>
      </c>
      <c r="AH113" s="47">
        <f t="shared" si="18"/>
        <v>-37</v>
      </c>
      <c r="AI113" s="48">
        <f t="shared" si="19"/>
        <v>-199.2</v>
      </c>
    </row>
    <row r="114" spans="1:37" x14ac:dyDescent="0.25">
      <c r="A114" s="102" t="s">
        <v>122</v>
      </c>
      <c r="B114" s="114">
        <v>-19.899999999999999</v>
      </c>
      <c r="C114" s="114">
        <v>-22.9</v>
      </c>
      <c r="D114" s="114">
        <v>-23.2</v>
      </c>
      <c r="E114" s="114">
        <v>-24.4</v>
      </c>
      <c r="F114" s="114">
        <v>-22.8</v>
      </c>
      <c r="G114" s="114">
        <v>-21.5</v>
      </c>
      <c r="H114" s="114">
        <v>-19.2</v>
      </c>
      <c r="I114" s="114">
        <v>-14.4</v>
      </c>
      <c r="J114" s="114">
        <v>-7.5</v>
      </c>
      <c r="K114" s="114">
        <v>-12.6</v>
      </c>
      <c r="L114" s="114">
        <v>-10.9</v>
      </c>
      <c r="M114" s="114">
        <v>-6</v>
      </c>
      <c r="N114" s="114">
        <v>-8</v>
      </c>
      <c r="O114" s="114">
        <v>-6</v>
      </c>
      <c r="P114" s="114"/>
      <c r="Q114" s="114">
        <v>-13</v>
      </c>
      <c r="R114" s="114">
        <v>-13</v>
      </c>
      <c r="S114" s="114">
        <v>-13.4</v>
      </c>
      <c r="T114" s="114">
        <v>-13.3</v>
      </c>
      <c r="U114" s="114">
        <v>-8</v>
      </c>
      <c r="V114" s="114">
        <v>-8</v>
      </c>
      <c r="W114" s="114">
        <v>0.7</v>
      </c>
      <c r="X114" s="114">
        <v>33</v>
      </c>
      <c r="Y114" s="114">
        <v>33.299999999999997</v>
      </c>
      <c r="Z114" s="114">
        <v>13.9</v>
      </c>
      <c r="AA114" s="114">
        <v>25.4</v>
      </c>
      <c r="AB114" s="114">
        <v>14.1</v>
      </c>
      <c r="AC114" s="114">
        <v>1.3</v>
      </c>
      <c r="AD114" s="114">
        <v>-3</v>
      </c>
      <c r="AE114" s="114">
        <v>-7</v>
      </c>
      <c r="AF114" s="114">
        <v>-10</v>
      </c>
      <c r="AG114" s="113">
        <v>60</v>
      </c>
      <c r="AH114" s="47">
        <f t="shared" si="18"/>
        <v>33.299999999999997</v>
      </c>
      <c r="AI114" s="48">
        <f t="shared" si="19"/>
        <v>-24.4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/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18"/>
        <v>0</v>
      </c>
      <c r="AI115" s="48">
        <f t="shared" si="19"/>
        <v>0</v>
      </c>
    </row>
    <row r="116" spans="1:37" x14ac:dyDescent="0.25">
      <c r="A116" s="115" t="s">
        <v>124</v>
      </c>
      <c r="B116" s="116">
        <v>-5.8</v>
      </c>
      <c r="C116" s="116">
        <v>-12</v>
      </c>
      <c r="D116" s="116">
        <v>-1.9</v>
      </c>
      <c r="E116" s="116">
        <v>-20</v>
      </c>
      <c r="F116" s="116">
        <v>-19.399999999999999</v>
      </c>
      <c r="G116" s="116">
        <v>-50.3</v>
      </c>
      <c r="H116" s="116">
        <v>-29.6</v>
      </c>
      <c r="I116" s="116">
        <v>-32.4</v>
      </c>
      <c r="J116" s="116">
        <v>6.5</v>
      </c>
      <c r="K116" s="116">
        <v>-8.5</v>
      </c>
      <c r="L116" s="116">
        <v>-32.700000000000003</v>
      </c>
      <c r="M116" s="116">
        <v>56.7</v>
      </c>
      <c r="N116" s="116">
        <v>59</v>
      </c>
      <c r="O116" s="116">
        <v>56.7</v>
      </c>
      <c r="P116" s="116"/>
      <c r="Q116" s="116">
        <v>0.1</v>
      </c>
      <c r="R116" s="116">
        <v>0.1</v>
      </c>
      <c r="S116" s="116">
        <v>8.9</v>
      </c>
      <c r="T116" s="116">
        <v>-14</v>
      </c>
      <c r="U116" s="116">
        <v>35.1</v>
      </c>
      <c r="V116" s="116">
        <v>35.1</v>
      </c>
      <c r="W116" s="116">
        <v>35.700000000000003</v>
      </c>
      <c r="X116" s="116">
        <v>45.9</v>
      </c>
      <c r="Y116" s="116">
        <v>50</v>
      </c>
      <c r="Z116" s="116">
        <v>55.5</v>
      </c>
      <c r="AA116" s="116">
        <v>29.3</v>
      </c>
      <c r="AB116" s="116">
        <v>0.3</v>
      </c>
      <c r="AC116" s="116">
        <v>-17.5</v>
      </c>
      <c r="AD116" s="116">
        <v>-20</v>
      </c>
      <c r="AE116" s="116">
        <v>-32</v>
      </c>
      <c r="AF116" s="116">
        <v>-28</v>
      </c>
      <c r="AG116" s="117"/>
      <c r="AH116" s="47">
        <f t="shared" si="18"/>
        <v>59</v>
      </c>
      <c r="AI116" s="48">
        <f t="shared" si="19"/>
        <v>-50.3</v>
      </c>
    </row>
    <row r="117" spans="1:37" x14ac:dyDescent="0.25">
      <c r="A117" s="115" t="s">
        <v>125</v>
      </c>
      <c r="B117" s="116">
        <v>-76</v>
      </c>
      <c r="C117" s="116">
        <v>-65.8</v>
      </c>
      <c r="D117" s="116">
        <v>-40.200000000000003</v>
      </c>
      <c r="E117" s="116">
        <v>-69</v>
      </c>
      <c r="F117" s="116">
        <v>-63.4</v>
      </c>
      <c r="G117" s="116">
        <v>-84.7</v>
      </c>
      <c r="H117" s="116">
        <v>-74.599999999999994</v>
      </c>
      <c r="I117" s="116">
        <v>-85.8</v>
      </c>
      <c r="J117" s="116">
        <v>-68.099999999999994</v>
      </c>
      <c r="K117" s="116">
        <v>-63.1</v>
      </c>
      <c r="L117" s="116">
        <v>-73.400000000000006</v>
      </c>
      <c r="M117" s="116">
        <v>-99</v>
      </c>
      <c r="N117" s="116">
        <v>-98</v>
      </c>
      <c r="O117" s="116">
        <v>-97</v>
      </c>
      <c r="P117" s="116"/>
      <c r="Q117" s="116">
        <v>-47</v>
      </c>
      <c r="R117" s="116">
        <v>-47</v>
      </c>
      <c r="S117" s="116">
        <v>-40</v>
      </c>
      <c r="T117" s="116">
        <v>-40.9</v>
      </c>
      <c r="U117" s="116">
        <v>-45</v>
      </c>
      <c r="V117" s="116">
        <v>-45</v>
      </c>
      <c r="W117" s="116">
        <v>-33.799999999999997</v>
      </c>
      <c r="X117" s="116">
        <v>-22</v>
      </c>
      <c r="Y117" s="116">
        <v>-30.5</v>
      </c>
      <c r="Z117" s="116">
        <v>-34.700000000000003</v>
      </c>
      <c r="AA117" s="116">
        <v>-34.1</v>
      </c>
      <c r="AB117" s="116">
        <v>-34.4</v>
      </c>
      <c r="AC117" s="116">
        <v>-43.7</v>
      </c>
      <c r="AD117" s="116">
        <v>-38</v>
      </c>
      <c r="AE117" s="116">
        <v>-35</v>
      </c>
      <c r="AF117" s="116">
        <v>-30</v>
      </c>
      <c r="AG117" s="118"/>
      <c r="AH117" s="47">
        <f t="shared" si="18"/>
        <v>-22</v>
      </c>
      <c r="AI117" s="48">
        <f t="shared" si="19"/>
        <v>-99</v>
      </c>
    </row>
    <row r="118" spans="1:37" x14ac:dyDescent="0.25">
      <c r="A118" s="119" t="s">
        <v>126</v>
      </c>
      <c r="B118" s="105">
        <v>73.400000000000006</v>
      </c>
      <c r="C118" s="105">
        <v>74</v>
      </c>
      <c r="D118" s="105">
        <v>75</v>
      </c>
      <c r="E118" s="105">
        <v>77.5</v>
      </c>
      <c r="F118" s="105">
        <v>78.099999999999994</v>
      </c>
      <c r="G118" s="105">
        <v>76.5</v>
      </c>
      <c r="H118" s="105">
        <v>74.7</v>
      </c>
      <c r="I118" s="105">
        <v>74.7</v>
      </c>
      <c r="J118" s="105">
        <v>72.099999999999994</v>
      </c>
      <c r="K118" s="105">
        <v>67.3</v>
      </c>
      <c r="L118" s="105">
        <v>70.5</v>
      </c>
      <c r="M118" s="105">
        <v>63</v>
      </c>
      <c r="N118" s="105">
        <v>64</v>
      </c>
      <c r="O118" s="105">
        <v>64</v>
      </c>
      <c r="P118" s="105"/>
      <c r="Q118" s="105">
        <v>53</v>
      </c>
      <c r="R118" s="105">
        <v>53</v>
      </c>
      <c r="S118" s="105">
        <v>47.2</v>
      </c>
      <c r="T118" s="105">
        <v>63.2</v>
      </c>
      <c r="U118" s="105">
        <v>58.6</v>
      </c>
      <c r="V118" s="105">
        <v>58.6</v>
      </c>
      <c r="W118" s="105">
        <v>50.2</v>
      </c>
      <c r="X118" s="105">
        <v>35.1</v>
      </c>
      <c r="Y118" s="105">
        <v>38.5</v>
      </c>
      <c r="Z118" s="105">
        <v>46.8</v>
      </c>
      <c r="AA118" s="105">
        <v>52.1</v>
      </c>
      <c r="AB118" s="105">
        <v>49.6</v>
      </c>
      <c r="AC118" s="105">
        <v>52.8</v>
      </c>
      <c r="AD118" s="105">
        <v>61.2</v>
      </c>
      <c r="AE118" s="105">
        <v>65</v>
      </c>
      <c r="AF118" s="105">
        <v>71</v>
      </c>
      <c r="AG118" s="118"/>
      <c r="AH118" s="47">
        <f t="shared" si="18"/>
        <v>78.099999999999994</v>
      </c>
      <c r="AI118" s="48">
        <f t="shared" si="19"/>
        <v>35.1</v>
      </c>
    </row>
    <row r="119" spans="1:37" x14ac:dyDescent="0.25">
      <c r="A119" s="120" t="s">
        <v>127</v>
      </c>
      <c r="B119" s="105">
        <v>95.8</v>
      </c>
      <c r="C119" s="105">
        <v>98.6</v>
      </c>
      <c r="D119" s="105">
        <v>86.9</v>
      </c>
      <c r="E119" s="105">
        <v>98</v>
      </c>
      <c r="F119" s="105">
        <v>95.6</v>
      </c>
      <c r="G119" s="105">
        <v>101.6</v>
      </c>
      <c r="H119" s="105">
        <v>86.1</v>
      </c>
      <c r="I119" s="105">
        <v>88.6</v>
      </c>
      <c r="J119" s="105">
        <v>68.099999999999994</v>
      </c>
      <c r="K119" s="105">
        <v>79.2</v>
      </c>
      <c r="L119" s="105">
        <v>80.599999999999994</v>
      </c>
      <c r="M119" s="105">
        <v>42</v>
      </c>
      <c r="N119" s="105">
        <v>44</v>
      </c>
      <c r="O119" s="105">
        <v>43</v>
      </c>
      <c r="P119" s="105"/>
      <c r="Q119" s="105">
        <v>75</v>
      </c>
      <c r="R119" s="105">
        <v>75</v>
      </c>
      <c r="S119" s="105">
        <v>68.8</v>
      </c>
      <c r="T119" s="105">
        <v>65.3</v>
      </c>
      <c r="U119" s="105">
        <v>65.3</v>
      </c>
      <c r="V119" s="105">
        <v>53.9</v>
      </c>
      <c r="W119" s="105">
        <v>54.3</v>
      </c>
      <c r="X119" s="105">
        <v>52</v>
      </c>
      <c r="Y119" s="105">
        <v>66.099999999999994</v>
      </c>
      <c r="Z119" s="105">
        <v>51.1</v>
      </c>
      <c r="AA119" s="105">
        <v>64.8</v>
      </c>
      <c r="AB119" s="105">
        <v>69.599999999999994</v>
      </c>
      <c r="AC119" s="105">
        <v>84.6</v>
      </c>
      <c r="AD119" s="105">
        <v>101.9</v>
      </c>
      <c r="AE119" s="105">
        <v>97</v>
      </c>
      <c r="AF119" s="105">
        <v>104</v>
      </c>
      <c r="AG119" s="118"/>
      <c r="AH119" s="47">
        <f t="shared" si="18"/>
        <v>104</v>
      </c>
      <c r="AI119" s="48">
        <f t="shared" si="19"/>
        <v>42</v>
      </c>
    </row>
    <row r="120" spans="1:37" ht="15.75" thickBot="1" x14ac:dyDescent="0.3">
      <c r="A120" s="119" t="s">
        <v>128</v>
      </c>
      <c r="B120" s="105">
        <v>-9.4</v>
      </c>
      <c r="C120" s="105">
        <v>-10.4</v>
      </c>
      <c r="D120" s="105">
        <v>-19.399999999999999</v>
      </c>
      <c r="E120" s="105">
        <v>-18.899999999999999</v>
      </c>
      <c r="F120" s="105">
        <v>-24.2</v>
      </c>
      <c r="G120" s="105">
        <v>-27.3</v>
      </c>
      <c r="H120" s="105">
        <v>-31.5</v>
      </c>
      <c r="I120" s="105">
        <v>-27.9</v>
      </c>
      <c r="J120" s="105">
        <v>-28.2</v>
      </c>
      <c r="K120" s="105">
        <v>-18.899999999999999</v>
      </c>
      <c r="L120" s="105">
        <v>-32.5</v>
      </c>
      <c r="M120" s="105">
        <v>-40</v>
      </c>
      <c r="N120" s="105">
        <v>-38</v>
      </c>
      <c r="O120" s="105">
        <v>-40</v>
      </c>
      <c r="P120" s="105"/>
      <c r="Q120" s="105">
        <v>-30</v>
      </c>
      <c r="R120" s="105">
        <v>-30</v>
      </c>
      <c r="S120" s="105">
        <v>-26.6</v>
      </c>
      <c r="T120" s="105">
        <v>-41</v>
      </c>
      <c r="U120" s="105">
        <v>-41</v>
      </c>
      <c r="V120" s="105">
        <v>-30.8</v>
      </c>
      <c r="W120" s="105">
        <v>-19.899999999999999</v>
      </c>
      <c r="X120" s="105">
        <v>-0.6</v>
      </c>
      <c r="Y120" s="105">
        <v>-10.3</v>
      </c>
      <c r="Z120" s="105">
        <v>-3.9</v>
      </c>
      <c r="AA120" s="105">
        <v>-8.1</v>
      </c>
      <c r="AB120" s="105">
        <v>-9.1</v>
      </c>
      <c r="AC120" s="105">
        <v>-13.4</v>
      </c>
      <c r="AD120" s="105">
        <v>-22.1</v>
      </c>
      <c r="AE120" s="105">
        <v>-28</v>
      </c>
      <c r="AF120" s="105">
        <v>-30</v>
      </c>
      <c r="AG120" s="118"/>
      <c r="AH120" s="47">
        <f t="shared" si="18"/>
        <v>-0.6</v>
      </c>
      <c r="AI120" s="48">
        <f t="shared" si="19"/>
        <v>-41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42">SUM(B122:B226)</f>
        <v>0</v>
      </c>
      <c r="C227" s="136">
        <f t="shared" si="42"/>
        <v>0</v>
      </c>
      <c r="D227" s="136">
        <f t="shared" si="42"/>
        <v>0</v>
      </c>
      <c r="E227" s="136">
        <f t="shared" si="42"/>
        <v>0</v>
      </c>
      <c r="F227" s="136">
        <f t="shared" si="42"/>
        <v>0</v>
      </c>
      <c r="G227" s="136">
        <f t="shared" si="42"/>
        <v>0</v>
      </c>
      <c r="H227" s="136">
        <f t="shared" si="42"/>
        <v>0</v>
      </c>
      <c r="I227" s="136">
        <f t="shared" si="42"/>
        <v>0</v>
      </c>
      <c r="J227" s="136">
        <f t="shared" si="42"/>
        <v>0</v>
      </c>
      <c r="K227" s="136">
        <f t="shared" si="42"/>
        <v>0</v>
      </c>
      <c r="L227" s="136">
        <f t="shared" si="42"/>
        <v>0</v>
      </c>
      <c r="M227" s="136">
        <f t="shared" si="42"/>
        <v>0</v>
      </c>
      <c r="N227" s="136">
        <f t="shared" si="42"/>
        <v>0</v>
      </c>
      <c r="O227" s="136">
        <f t="shared" si="42"/>
        <v>0</v>
      </c>
      <c r="P227" s="136">
        <f t="shared" si="42"/>
        <v>0</v>
      </c>
      <c r="Q227" s="136">
        <f t="shared" si="42"/>
        <v>0</v>
      </c>
      <c r="R227" s="136">
        <f t="shared" si="42"/>
        <v>0</v>
      </c>
      <c r="S227" s="136">
        <f t="shared" si="42"/>
        <v>0</v>
      </c>
      <c r="T227" s="136">
        <f t="shared" si="42"/>
        <v>0</v>
      </c>
      <c r="U227" s="136">
        <f t="shared" si="42"/>
        <v>0</v>
      </c>
      <c r="V227" s="136">
        <f t="shared" si="42"/>
        <v>0</v>
      </c>
      <c r="W227" s="136">
        <f t="shared" si="42"/>
        <v>0</v>
      </c>
      <c r="X227" s="136">
        <f t="shared" si="42"/>
        <v>0</v>
      </c>
      <c r="Y227" s="136">
        <f t="shared" si="42"/>
        <v>0</v>
      </c>
      <c r="Z227" s="136">
        <f t="shared" si="42"/>
        <v>0</v>
      </c>
      <c r="AA227" s="136">
        <f t="shared" si="42"/>
        <v>0</v>
      </c>
      <c r="AB227" s="136">
        <f t="shared" si="42"/>
        <v>0</v>
      </c>
      <c r="AC227" s="136">
        <f t="shared" si="42"/>
        <v>0</v>
      </c>
      <c r="AD227" s="136">
        <f t="shared" si="42"/>
        <v>0</v>
      </c>
      <c r="AE227" s="136">
        <f t="shared" si="42"/>
        <v>0</v>
      </c>
      <c r="AF227" s="137">
        <f t="shared" si="42"/>
        <v>0</v>
      </c>
      <c r="AG227" s="138">
        <f t="shared" si="42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43">AF229</f>
        <v>0</v>
      </c>
      <c r="C229" s="140">
        <v>0.3</v>
      </c>
      <c r="D229" s="140">
        <f t="shared" ref="D229:P234" si="44">C229</f>
        <v>0.3</v>
      </c>
      <c r="E229" s="140">
        <f t="shared" si="44"/>
        <v>0.3</v>
      </c>
      <c r="F229" s="140">
        <f t="shared" si="44"/>
        <v>0.3</v>
      </c>
      <c r="G229" s="140">
        <f t="shared" si="44"/>
        <v>0.3</v>
      </c>
      <c r="H229" s="140">
        <f t="shared" si="44"/>
        <v>0.3</v>
      </c>
      <c r="I229" s="140">
        <f t="shared" si="44"/>
        <v>0.3</v>
      </c>
      <c r="J229" s="140">
        <f t="shared" si="44"/>
        <v>0.3</v>
      </c>
      <c r="K229" s="140">
        <f t="shared" si="44"/>
        <v>0.3</v>
      </c>
      <c r="L229" s="140">
        <f t="shared" si="44"/>
        <v>0.3</v>
      </c>
      <c r="M229" s="140">
        <f t="shared" si="44"/>
        <v>0.3</v>
      </c>
      <c r="N229" s="140">
        <f t="shared" si="44"/>
        <v>0.3</v>
      </c>
      <c r="O229" s="140">
        <f t="shared" si="44"/>
        <v>0.3</v>
      </c>
      <c r="P229" s="140">
        <f t="shared" si="44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43"/>
        <v>0</v>
      </c>
      <c r="C230" s="128">
        <v>0.4</v>
      </c>
      <c r="D230" s="128">
        <f t="shared" si="44"/>
        <v>0.4</v>
      </c>
      <c r="E230" s="128">
        <f t="shared" si="44"/>
        <v>0.4</v>
      </c>
      <c r="F230" s="128">
        <f t="shared" si="44"/>
        <v>0.4</v>
      </c>
      <c r="G230" s="128">
        <f t="shared" si="44"/>
        <v>0.4</v>
      </c>
      <c r="H230" s="128">
        <f t="shared" si="44"/>
        <v>0.4</v>
      </c>
      <c r="I230" s="128">
        <f t="shared" si="44"/>
        <v>0.4</v>
      </c>
      <c r="J230" s="128">
        <f t="shared" si="44"/>
        <v>0.4</v>
      </c>
      <c r="K230" s="128">
        <f t="shared" si="44"/>
        <v>0.4</v>
      </c>
      <c r="L230" s="128">
        <f t="shared" si="44"/>
        <v>0.4</v>
      </c>
      <c r="M230" s="128">
        <f t="shared" si="44"/>
        <v>0.4</v>
      </c>
      <c r="N230" s="128">
        <f t="shared" si="44"/>
        <v>0.4</v>
      </c>
      <c r="O230" s="128">
        <f t="shared" si="44"/>
        <v>0.4</v>
      </c>
      <c r="P230" s="128">
        <f t="shared" si="44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43"/>
        <v>0</v>
      </c>
      <c r="C231" s="128">
        <v>1.5</v>
      </c>
      <c r="D231" s="128">
        <f t="shared" si="44"/>
        <v>1.5</v>
      </c>
      <c r="E231" s="128">
        <f t="shared" si="44"/>
        <v>1.5</v>
      </c>
      <c r="F231" s="128">
        <f t="shared" si="44"/>
        <v>1.5</v>
      </c>
      <c r="G231" s="128">
        <f t="shared" si="44"/>
        <v>1.5</v>
      </c>
      <c r="H231" s="128">
        <f t="shared" si="44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44"/>
        <v>123.21900000000009</v>
      </c>
      <c r="K231" s="128">
        <f t="shared" ca="1" si="44"/>
        <v>123.21900000000009</v>
      </c>
      <c r="L231" s="128">
        <f t="shared" ca="1" si="44"/>
        <v>123.21900000000009</v>
      </c>
      <c r="M231" s="128">
        <f t="shared" ca="1" si="44"/>
        <v>119.19900000000008</v>
      </c>
      <c r="N231" s="128">
        <f t="shared" ca="1" si="44"/>
        <v>119.19900000000008</v>
      </c>
      <c r="O231" s="128">
        <f t="shared" ca="1" si="44"/>
        <v>119.19900000000008</v>
      </c>
      <c r="P231" s="128">
        <f t="shared" ca="1" si="44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43"/>
        <v>0</v>
      </c>
      <c r="C232" s="128">
        <v>0.3</v>
      </c>
      <c r="D232" s="128">
        <f t="shared" si="44"/>
        <v>0.3</v>
      </c>
      <c r="E232" s="128">
        <f t="shared" si="44"/>
        <v>0.3</v>
      </c>
      <c r="F232" s="128">
        <f t="shared" si="44"/>
        <v>0.3</v>
      </c>
      <c r="G232" s="128">
        <f t="shared" si="44"/>
        <v>0.3</v>
      </c>
      <c r="H232" s="128">
        <f t="shared" si="44"/>
        <v>0.3</v>
      </c>
      <c r="I232" s="128">
        <f t="shared" si="44"/>
        <v>0.3</v>
      </c>
      <c r="J232" s="128">
        <f t="shared" si="44"/>
        <v>0.3</v>
      </c>
      <c r="K232" s="128">
        <f t="shared" si="44"/>
        <v>0.3</v>
      </c>
      <c r="L232" s="128">
        <f t="shared" si="44"/>
        <v>0.3</v>
      </c>
      <c r="M232" s="128">
        <f t="shared" si="44"/>
        <v>0.3</v>
      </c>
      <c r="N232" s="128">
        <f t="shared" si="44"/>
        <v>0.3</v>
      </c>
      <c r="O232" s="128">
        <f t="shared" si="44"/>
        <v>0.3</v>
      </c>
      <c r="P232" s="128">
        <f t="shared" si="44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43"/>
        <v>0</v>
      </c>
      <c r="C233" s="128">
        <v>0.4</v>
      </c>
      <c r="D233" s="128">
        <f t="shared" si="44"/>
        <v>0.4</v>
      </c>
      <c r="E233" s="128">
        <f t="shared" si="44"/>
        <v>0.4</v>
      </c>
      <c r="F233" s="128">
        <f t="shared" si="44"/>
        <v>0.4</v>
      </c>
      <c r="G233" s="128">
        <f t="shared" si="44"/>
        <v>0.4</v>
      </c>
      <c r="H233" s="128">
        <f t="shared" si="44"/>
        <v>0.4</v>
      </c>
      <c r="I233" s="128">
        <f t="shared" si="44"/>
        <v>0.4</v>
      </c>
      <c r="J233" s="128">
        <f t="shared" si="44"/>
        <v>0.4</v>
      </c>
      <c r="K233" s="128">
        <f t="shared" si="44"/>
        <v>0.4</v>
      </c>
      <c r="L233" s="128">
        <f t="shared" si="44"/>
        <v>0.4</v>
      </c>
      <c r="M233" s="128">
        <f t="shared" si="44"/>
        <v>0.4</v>
      </c>
      <c r="N233" s="128">
        <f t="shared" si="44"/>
        <v>0.4</v>
      </c>
      <c r="O233" s="128">
        <f t="shared" si="44"/>
        <v>0.4</v>
      </c>
      <c r="P233" s="128">
        <f t="shared" si="44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43"/>
        <v>0</v>
      </c>
      <c r="C234" s="132">
        <v>0.64</v>
      </c>
      <c r="D234" s="132">
        <f t="shared" si="44"/>
        <v>0.64</v>
      </c>
      <c r="E234" s="132">
        <f t="shared" si="44"/>
        <v>0.64</v>
      </c>
      <c r="F234" s="132">
        <f t="shared" si="44"/>
        <v>0.64</v>
      </c>
      <c r="G234" s="132">
        <f t="shared" si="44"/>
        <v>0.64</v>
      </c>
      <c r="H234" s="132">
        <f t="shared" si="44"/>
        <v>0.64</v>
      </c>
      <c r="I234" s="132">
        <f t="shared" si="44"/>
        <v>0.64</v>
      </c>
      <c r="J234" s="132">
        <f t="shared" si="44"/>
        <v>0.64</v>
      </c>
      <c r="K234" s="132">
        <f t="shared" si="44"/>
        <v>0.64</v>
      </c>
      <c r="L234" s="132">
        <f t="shared" si="44"/>
        <v>0.64</v>
      </c>
      <c r="M234" s="132">
        <f t="shared" si="44"/>
        <v>0.64</v>
      </c>
      <c r="N234" s="132">
        <f t="shared" si="44"/>
        <v>0.64</v>
      </c>
      <c r="O234" s="132">
        <f t="shared" si="44"/>
        <v>0.64</v>
      </c>
      <c r="P234" s="132">
        <f t="shared" si="44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45">SUM(B229:B234)</f>
        <v>0</v>
      </c>
      <c r="C235" s="136">
        <f t="shared" si="45"/>
        <v>3.54</v>
      </c>
      <c r="D235" s="136">
        <f t="shared" si="45"/>
        <v>3.54</v>
      </c>
      <c r="E235" s="136">
        <f t="shared" si="45"/>
        <v>3.54</v>
      </c>
      <c r="F235" s="136">
        <f t="shared" si="45"/>
        <v>3.54</v>
      </c>
      <c r="G235" s="136">
        <f t="shared" si="45"/>
        <v>3.54</v>
      </c>
      <c r="H235" s="136">
        <f t="shared" si="45"/>
        <v>3.54</v>
      </c>
      <c r="I235" s="136">
        <f t="shared" ca="1" si="45"/>
        <v>121.23900000000009</v>
      </c>
      <c r="J235" s="136">
        <f t="shared" ca="1" si="45"/>
        <v>121.23900000000009</v>
      </c>
      <c r="K235" s="136">
        <f t="shared" ca="1" si="45"/>
        <v>121.23900000000009</v>
      </c>
      <c r="L235" s="136">
        <f t="shared" ca="1" si="45"/>
        <v>125.2590000000001</v>
      </c>
      <c r="M235" s="136">
        <f t="shared" ca="1" si="45"/>
        <v>121.23900000000009</v>
      </c>
      <c r="N235" s="136">
        <f t="shared" ca="1" si="45"/>
        <v>121.23900000000009</v>
      </c>
      <c r="O235" s="136">
        <f t="shared" ca="1" si="45"/>
        <v>121.23900000000009</v>
      </c>
      <c r="P235" s="136">
        <f t="shared" ca="1" si="45"/>
        <v>121.23900000000009</v>
      </c>
      <c r="Q235" s="136">
        <f t="shared" si="45"/>
        <v>0</v>
      </c>
      <c r="R235" s="136">
        <f t="shared" si="45"/>
        <v>0</v>
      </c>
      <c r="S235" s="136">
        <f t="shared" si="45"/>
        <v>0</v>
      </c>
      <c r="T235" s="136">
        <f t="shared" si="45"/>
        <v>0</v>
      </c>
      <c r="U235" s="136">
        <f t="shared" si="45"/>
        <v>0</v>
      </c>
      <c r="V235" s="136">
        <f t="shared" si="45"/>
        <v>0</v>
      </c>
      <c r="W235" s="136">
        <f t="shared" si="45"/>
        <v>0</v>
      </c>
      <c r="X235" s="136">
        <f t="shared" si="45"/>
        <v>0</v>
      </c>
      <c r="Y235" s="136">
        <f t="shared" si="45"/>
        <v>0</v>
      </c>
      <c r="Z235" s="136">
        <f t="shared" si="45"/>
        <v>0</v>
      </c>
      <c r="AA235" s="136">
        <f t="shared" si="45"/>
        <v>0</v>
      </c>
      <c r="AB235" s="136">
        <f t="shared" si="45"/>
        <v>0</v>
      </c>
      <c r="AC235" s="136">
        <f t="shared" si="45"/>
        <v>0</v>
      </c>
      <c r="AD235" s="136">
        <f t="shared" si="45"/>
        <v>0</v>
      </c>
      <c r="AE235" s="136">
        <f t="shared" si="45"/>
        <v>0</v>
      </c>
      <c r="AF235" s="136">
        <f t="shared" si="45"/>
        <v>0</v>
      </c>
      <c r="AG235" s="145">
        <f t="shared" si="45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2089.6400000000003</v>
      </c>
      <c r="C244" s="161">
        <f>INDEX(G9:N9,1,MATCH(MAX(G91:N91),G91:N91,0))</f>
        <v>0.3125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27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2080/06/27)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2080/06/27)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46">B91</f>
        <v>2085.1400000000003</v>
      </c>
      <c r="U249" s="170">
        <f t="shared" si="46"/>
        <v>2025.3400000000001</v>
      </c>
      <c r="V249" s="170">
        <f t="shared" si="46"/>
        <v>2004.84</v>
      </c>
      <c r="W249" s="170">
        <f t="shared" si="46"/>
        <v>2003.8400000000001</v>
      </c>
      <c r="X249" s="170">
        <f t="shared" si="46"/>
        <v>2004.64</v>
      </c>
      <c r="Y249" s="170">
        <f t="shared" si="46"/>
        <v>2003.8400000000001</v>
      </c>
      <c r="Z249" s="170">
        <f t="shared" si="46"/>
        <v>2013.64</v>
      </c>
      <c r="AA249" s="170">
        <f t="shared" si="46"/>
        <v>2039.64</v>
      </c>
      <c r="AB249" s="170">
        <f t="shared" si="46"/>
        <v>2031.64</v>
      </c>
      <c r="AC249" s="170">
        <f t="shared" si="46"/>
        <v>2049.54</v>
      </c>
      <c r="AD249" s="170">
        <f t="shared" si="46"/>
        <v>2089.6400000000003</v>
      </c>
      <c r="AE249" s="170">
        <f t="shared" si="46"/>
        <v>2036.14</v>
      </c>
      <c r="AF249" s="170">
        <f t="shared" si="46"/>
        <v>2037.14</v>
      </c>
      <c r="AG249" s="170">
        <f t="shared" si="46"/>
        <v>1955.2400000000002</v>
      </c>
      <c r="AH249" s="170">
        <f t="shared" si="46"/>
        <v>861.84</v>
      </c>
      <c r="AI249" s="170">
        <f t="shared" si="46"/>
        <v>1923.7400000000002</v>
      </c>
      <c r="AJ249" s="170">
        <f t="shared" si="46"/>
        <v>1956.7400000000002</v>
      </c>
      <c r="AK249" s="170">
        <f t="shared" si="46"/>
        <v>1904.04</v>
      </c>
      <c r="AL249" s="170">
        <f t="shared" si="46"/>
        <v>1904.14</v>
      </c>
      <c r="AM249" s="170">
        <f t="shared" si="46"/>
        <v>1904.14</v>
      </c>
      <c r="AN249" s="170">
        <f t="shared" si="46"/>
        <v>1918.74</v>
      </c>
      <c r="AO249" s="170">
        <f t="shared" si="46"/>
        <v>1916.44</v>
      </c>
      <c r="AP249" s="170">
        <f t="shared" si="46"/>
        <v>2147.94</v>
      </c>
      <c r="AQ249" s="170">
        <f t="shared" si="46"/>
        <v>2215.54</v>
      </c>
      <c r="AR249" s="170">
        <f t="shared" si="46"/>
        <v>2166.64</v>
      </c>
      <c r="AS249" s="170">
        <f t="shared" si="46"/>
        <v>2073.44</v>
      </c>
      <c r="AT249" s="170">
        <f t="shared" si="46"/>
        <v>2029.44</v>
      </c>
      <c r="AU249" s="170">
        <f t="shared" si="46"/>
        <v>2023.44</v>
      </c>
      <c r="AV249" s="170">
        <f t="shared" si="46"/>
        <v>2020.58</v>
      </c>
      <c r="AW249" s="170">
        <f t="shared" si="46"/>
        <v>1972.3799999999999</v>
      </c>
      <c r="AX249" s="170">
        <f t="shared" si="46"/>
        <v>1910.8799999999999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47">C234</f>
        <v>0.64</v>
      </c>
      <c r="C270" s="173">
        <f t="shared" si="47"/>
        <v>0.64</v>
      </c>
      <c r="D270" s="173">
        <f t="shared" si="47"/>
        <v>0.64</v>
      </c>
      <c r="E270" s="173">
        <f t="shared" si="47"/>
        <v>0.64</v>
      </c>
      <c r="F270" s="173">
        <f t="shared" si="47"/>
        <v>0.64</v>
      </c>
      <c r="G270" s="173">
        <f t="shared" si="47"/>
        <v>0.64</v>
      </c>
      <c r="H270" s="173">
        <f t="shared" si="47"/>
        <v>0.64</v>
      </c>
      <c r="I270" s="173">
        <f t="shared" si="47"/>
        <v>0.64</v>
      </c>
      <c r="J270" s="173">
        <f t="shared" si="47"/>
        <v>0.64</v>
      </c>
      <c r="K270" s="173">
        <f t="shared" si="47"/>
        <v>0.64</v>
      </c>
      <c r="L270" s="173">
        <f t="shared" si="47"/>
        <v>0.64</v>
      </c>
      <c r="M270" s="173">
        <f t="shared" si="47"/>
        <v>0.64</v>
      </c>
      <c r="N270" s="173">
        <f t="shared" si="47"/>
        <v>0.64</v>
      </c>
      <c r="O270" s="173">
        <f t="shared" si="47"/>
        <v>0.64</v>
      </c>
      <c r="P270" s="173">
        <f t="shared" si="47"/>
        <v>0</v>
      </c>
      <c r="Q270" s="173">
        <f t="shared" si="47"/>
        <v>0</v>
      </c>
      <c r="R270" s="173">
        <f t="shared" si="47"/>
        <v>0</v>
      </c>
      <c r="S270" s="173">
        <f t="shared" si="47"/>
        <v>0</v>
      </c>
      <c r="T270" s="173">
        <f t="shared" si="47"/>
        <v>0</v>
      </c>
      <c r="U270" s="173">
        <f t="shared" si="47"/>
        <v>0</v>
      </c>
      <c r="V270" s="173">
        <f t="shared" si="47"/>
        <v>0</v>
      </c>
      <c r="W270" s="173">
        <f t="shared" si="47"/>
        <v>0</v>
      </c>
      <c r="X270" s="173">
        <f t="shared" si="47"/>
        <v>0</v>
      </c>
      <c r="Y270" s="173">
        <f t="shared" si="47"/>
        <v>0</v>
      </c>
      <c r="Z270" s="173">
        <f t="shared" si="47"/>
        <v>0</v>
      </c>
      <c r="AA270" s="173">
        <f t="shared" si="47"/>
        <v>0</v>
      </c>
      <c r="AB270" s="173">
        <f t="shared" si="47"/>
        <v>0</v>
      </c>
      <c r="AC270" s="173">
        <f t="shared" si="47"/>
        <v>0</v>
      </c>
      <c r="AD270" s="173">
        <f t="shared" si="47"/>
        <v>0</v>
      </c>
      <c r="AE270" s="173">
        <f t="shared" si="47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48">IF(B238&lt;100,"",B238-520)</f>
        <v/>
      </c>
      <c r="C271" s="174" t="str">
        <f t="shared" si="48"/>
        <v/>
      </c>
      <c r="D271" s="174" t="str">
        <f t="shared" si="48"/>
        <v/>
      </c>
      <c r="E271" s="174" t="str">
        <f t="shared" si="48"/>
        <v/>
      </c>
      <c r="F271" s="174" t="str">
        <f t="shared" si="48"/>
        <v/>
      </c>
      <c r="G271" s="174" t="str">
        <f t="shared" si="48"/>
        <v/>
      </c>
      <c r="H271" s="174" t="str">
        <f t="shared" si="48"/>
        <v/>
      </c>
      <c r="I271" s="174" t="str">
        <f t="shared" si="48"/>
        <v/>
      </c>
      <c r="J271" s="174" t="str">
        <f t="shared" si="48"/>
        <v/>
      </c>
      <c r="K271" s="174" t="str">
        <f t="shared" si="48"/>
        <v/>
      </c>
      <c r="L271" s="174" t="str">
        <f t="shared" si="48"/>
        <v/>
      </c>
      <c r="M271" s="174" t="str">
        <f t="shared" si="48"/>
        <v/>
      </c>
      <c r="N271" s="174" t="str">
        <f t="shared" si="48"/>
        <v/>
      </c>
      <c r="O271" s="174" t="str">
        <f t="shared" si="48"/>
        <v/>
      </c>
      <c r="P271" s="174" t="str">
        <f t="shared" si="48"/>
        <v/>
      </c>
      <c r="Q271" s="174" t="str">
        <f t="shared" si="48"/>
        <v/>
      </c>
      <c r="R271" s="174" t="str">
        <f t="shared" si="48"/>
        <v/>
      </c>
      <c r="S271" s="174" t="str">
        <f t="shared" si="48"/>
        <v/>
      </c>
      <c r="T271" s="174" t="str">
        <f t="shared" si="48"/>
        <v/>
      </c>
      <c r="U271" s="174" t="str">
        <f t="shared" si="48"/>
        <v/>
      </c>
      <c r="V271" s="174" t="str">
        <f t="shared" si="48"/>
        <v/>
      </c>
      <c r="W271" s="174" t="str">
        <f t="shared" si="48"/>
        <v/>
      </c>
      <c r="X271" s="174" t="str">
        <f t="shared" si="48"/>
        <v/>
      </c>
      <c r="Y271" s="174" t="str">
        <f t="shared" si="48"/>
        <v/>
      </c>
      <c r="Z271" s="174" t="str">
        <f t="shared" si="48"/>
        <v/>
      </c>
      <c r="AA271" s="174" t="str">
        <f t="shared" si="48"/>
        <v/>
      </c>
      <c r="AB271" s="174" t="str">
        <f t="shared" si="48"/>
        <v/>
      </c>
      <c r="AC271" s="174" t="str">
        <f t="shared" si="48"/>
        <v/>
      </c>
      <c r="AD271" s="174" t="str">
        <f t="shared" si="48"/>
        <v/>
      </c>
      <c r="AE271" s="174" t="str">
        <f t="shared" si="48"/>
        <v/>
      </c>
      <c r="AF271" s="174" t="str">
        <f t="shared" si="48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49">IF(B239&lt;100,"",B239-620)</f>
        <v/>
      </c>
      <c r="C272" s="174" t="str">
        <f t="shared" si="49"/>
        <v/>
      </c>
      <c r="D272" s="174" t="str">
        <f t="shared" si="49"/>
        <v/>
      </c>
      <c r="E272" s="174" t="str">
        <f t="shared" si="49"/>
        <v/>
      </c>
      <c r="F272" s="174" t="str">
        <f t="shared" si="49"/>
        <v/>
      </c>
      <c r="G272" s="174" t="str">
        <f t="shared" si="49"/>
        <v/>
      </c>
      <c r="H272" s="174" t="str">
        <f t="shared" si="49"/>
        <v/>
      </c>
      <c r="I272" s="174" t="str">
        <f t="shared" si="49"/>
        <v/>
      </c>
      <c r="J272" s="174" t="str">
        <f t="shared" si="49"/>
        <v/>
      </c>
      <c r="K272" s="174" t="str">
        <f t="shared" si="49"/>
        <v/>
      </c>
      <c r="L272" s="174" t="str">
        <f t="shared" si="49"/>
        <v/>
      </c>
      <c r="M272" s="174" t="str">
        <f t="shared" si="49"/>
        <v/>
      </c>
      <c r="N272" s="174" t="str">
        <f t="shared" si="49"/>
        <v/>
      </c>
      <c r="O272" s="174" t="str">
        <f t="shared" si="49"/>
        <v/>
      </c>
      <c r="P272" s="174" t="str">
        <f t="shared" si="49"/>
        <v/>
      </c>
      <c r="Q272" s="174" t="str">
        <f t="shared" si="49"/>
        <v/>
      </c>
      <c r="R272" s="174" t="str">
        <f t="shared" si="49"/>
        <v/>
      </c>
      <c r="S272" s="174" t="str">
        <f t="shared" si="49"/>
        <v/>
      </c>
      <c r="T272" s="174" t="str">
        <f t="shared" si="49"/>
        <v/>
      </c>
      <c r="U272" s="174" t="str">
        <f t="shared" si="49"/>
        <v/>
      </c>
      <c r="V272" s="174" t="str">
        <f t="shared" si="49"/>
        <v/>
      </c>
      <c r="W272" s="174" t="str">
        <f t="shared" si="49"/>
        <v/>
      </c>
      <c r="X272" s="174" t="str">
        <f t="shared" si="49"/>
        <v/>
      </c>
      <c r="Y272" s="174" t="str">
        <f t="shared" si="49"/>
        <v/>
      </c>
      <c r="Z272" s="174" t="str">
        <f t="shared" si="49"/>
        <v/>
      </c>
      <c r="AA272" s="174" t="str">
        <f t="shared" si="49"/>
        <v/>
      </c>
      <c r="AB272" s="174" t="str">
        <f t="shared" si="49"/>
        <v/>
      </c>
      <c r="AC272" s="174" t="str">
        <f t="shared" si="49"/>
        <v/>
      </c>
      <c r="AD272" s="174" t="str">
        <f t="shared" si="49"/>
        <v/>
      </c>
      <c r="AE272" s="174" t="str">
        <f t="shared" si="49"/>
        <v/>
      </c>
      <c r="AF272" s="174" t="str">
        <f t="shared" si="49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50">IF(B240&lt;100,"",B240-330)</f>
        <v/>
      </c>
      <c r="C273" s="174" t="str">
        <f t="shared" si="50"/>
        <v/>
      </c>
      <c r="D273" s="174" t="str">
        <f t="shared" si="50"/>
        <v/>
      </c>
      <c r="E273" s="174" t="str">
        <f t="shared" si="50"/>
        <v/>
      </c>
      <c r="F273" s="174" t="str">
        <f t="shared" si="50"/>
        <v/>
      </c>
      <c r="G273" s="174" t="str">
        <f t="shared" si="50"/>
        <v/>
      </c>
      <c r="H273" s="174" t="str">
        <f t="shared" si="50"/>
        <v/>
      </c>
      <c r="I273" s="174" t="str">
        <f t="shared" si="50"/>
        <v/>
      </c>
      <c r="J273" s="174" t="str">
        <f t="shared" si="50"/>
        <v/>
      </c>
      <c r="K273" s="174" t="str">
        <f t="shared" si="50"/>
        <v/>
      </c>
      <c r="L273" s="174" t="str">
        <f t="shared" si="50"/>
        <v/>
      </c>
      <c r="M273" s="174" t="str">
        <f t="shared" si="50"/>
        <v/>
      </c>
      <c r="N273" s="174" t="str">
        <f t="shared" si="50"/>
        <v/>
      </c>
      <c r="O273" s="174" t="str">
        <f t="shared" si="50"/>
        <v/>
      </c>
      <c r="P273" s="174" t="str">
        <f t="shared" si="50"/>
        <v/>
      </c>
      <c r="Q273" s="174" t="str">
        <f t="shared" si="50"/>
        <v/>
      </c>
      <c r="R273" s="174" t="str">
        <f t="shared" si="50"/>
        <v/>
      </c>
      <c r="S273" s="174" t="str">
        <f t="shared" si="50"/>
        <v/>
      </c>
      <c r="T273" s="174" t="str">
        <f t="shared" si="50"/>
        <v/>
      </c>
      <c r="U273" s="174" t="str">
        <f t="shared" si="50"/>
        <v/>
      </c>
      <c r="V273" s="174" t="str">
        <f t="shared" si="50"/>
        <v/>
      </c>
      <c r="W273" s="174" t="str">
        <f t="shared" si="50"/>
        <v/>
      </c>
      <c r="X273" s="174" t="str">
        <f t="shared" si="50"/>
        <v/>
      </c>
      <c r="Y273" s="174" t="str">
        <f t="shared" si="50"/>
        <v/>
      </c>
      <c r="Z273" s="174" t="str">
        <f t="shared" si="50"/>
        <v/>
      </c>
      <c r="AA273" s="174" t="str">
        <f t="shared" si="50"/>
        <v/>
      </c>
      <c r="AB273" s="174" t="str">
        <f t="shared" si="50"/>
        <v/>
      </c>
      <c r="AC273" s="174" t="str">
        <f t="shared" si="50"/>
        <v/>
      </c>
      <c r="AD273" s="174" t="str">
        <f t="shared" si="50"/>
        <v/>
      </c>
      <c r="AE273" s="174" t="str">
        <f t="shared" si="50"/>
        <v/>
      </c>
      <c r="AF273" s="174" t="str">
        <f t="shared" si="50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51">IF(B241&lt;100,"",B241-1500)</f>
        <v/>
      </c>
      <c r="C274" s="174" t="str">
        <f t="shared" si="51"/>
        <v/>
      </c>
      <c r="D274" s="174" t="str">
        <f t="shared" si="51"/>
        <v/>
      </c>
      <c r="E274" s="174" t="str">
        <f t="shared" si="51"/>
        <v/>
      </c>
      <c r="F274" s="174" t="str">
        <f t="shared" si="51"/>
        <v/>
      </c>
      <c r="G274" s="174" t="str">
        <f t="shared" si="51"/>
        <v/>
      </c>
      <c r="H274" s="174" t="str">
        <f t="shared" si="51"/>
        <v/>
      </c>
      <c r="I274" s="174" t="str">
        <f t="shared" si="51"/>
        <v/>
      </c>
      <c r="J274" s="174" t="str">
        <f t="shared" si="51"/>
        <v/>
      </c>
      <c r="K274" s="174" t="str">
        <f t="shared" si="51"/>
        <v/>
      </c>
      <c r="L274" s="174" t="str">
        <f t="shared" si="51"/>
        <v/>
      </c>
      <c r="M274" s="174" t="str">
        <f t="shared" si="51"/>
        <v/>
      </c>
      <c r="N274" s="174" t="str">
        <f t="shared" si="51"/>
        <v/>
      </c>
      <c r="O274" s="174" t="str">
        <f t="shared" si="51"/>
        <v/>
      </c>
      <c r="P274" s="174" t="str">
        <f t="shared" si="51"/>
        <v/>
      </c>
      <c r="Q274" s="174" t="str">
        <f t="shared" si="51"/>
        <v/>
      </c>
      <c r="R274" s="174" t="str">
        <f t="shared" si="51"/>
        <v/>
      </c>
      <c r="S274" s="174" t="str">
        <f t="shared" si="51"/>
        <v/>
      </c>
      <c r="T274" s="174" t="str">
        <f t="shared" si="51"/>
        <v/>
      </c>
      <c r="U274" s="174" t="str">
        <f t="shared" si="51"/>
        <v/>
      </c>
      <c r="V274" s="174" t="str">
        <f t="shared" si="51"/>
        <v/>
      </c>
      <c r="W274" s="174" t="str">
        <f t="shared" si="51"/>
        <v/>
      </c>
      <c r="X274" s="174" t="str">
        <f t="shared" si="51"/>
        <v/>
      </c>
      <c r="Y274" s="174" t="str">
        <f t="shared" si="51"/>
        <v/>
      </c>
      <c r="Z274" s="174" t="str">
        <f t="shared" si="51"/>
        <v/>
      </c>
      <c r="AA274" s="174" t="str">
        <f t="shared" si="51"/>
        <v/>
      </c>
      <c r="AB274" s="174" t="str">
        <f t="shared" si="51"/>
        <v/>
      </c>
      <c r="AC274" s="174" t="str">
        <f t="shared" si="51"/>
        <v/>
      </c>
      <c r="AD274" s="174" t="str">
        <f t="shared" si="51"/>
        <v/>
      </c>
      <c r="AE274" s="174" t="str">
        <f t="shared" si="51"/>
        <v/>
      </c>
      <c r="AF274" s="174" t="str">
        <f t="shared" si="51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631" priority="166">
      <formula>$AH11=0</formula>
    </cfRule>
  </conditionalFormatting>
  <conditionalFormatting sqref="B8 M8 S8 AB8">
    <cfRule type="expression" dxfId="630" priority="217">
      <formula>AND(C$9&gt;=14/24,C$9&lt;20/24)</formula>
    </cfRule>
    <cfRule type="expression" dxfId="629" priority="218">
      <formula>AND(C$9&gt;=8/24,C$9&lt;14/24)</formula>
    </cfRule>
    <cfRule type="expression" dxfId="628" priority="219">
      <formula>C$9&lt;8/24</formula>
    </cfRule>
  </conditionalFormatting>
  <conditionalFormatting sqref="E60:R60">
    <cfRule type="expression" dxfId="627" priority="153">
      <formula>E$9&gt;=20/24</formula>
    </cfRule>
    <cfRule type="expression" dxfId="626" priority="154">
      <formula>AND(E$9&gt;=14/24,E$9&lt;20/24)</formula>
    </cfRule>
    <cfRule type="expression" dxfId="625" priority="155">
      <formula>AND(E$9&gt;=8/24,E$9&lt;14/24)</formula>
    </cfRule>
    <cfRule type="expression" dxfId="624" priority="156">
      <formula>E$9&lt;8/24</formula>
    </cfRule>
  </conditionalFormatting>
  <conditionalFormatting sqref="S61:X62 Y61:AF66">
    <cfRule type="expression" dxfId="623" priority="136">
      <formula>S$9&gt;=20/24</formula>
    </cfRule>
    <cfRule type="expression" dxfId="622" priority="137">
      <formula>AND(S$9&gt;=14/24,S$9&lt;20/24)</formula>
    </cfRule>
    <cfRule type="expression" dxfId="621" priority="138">
      <formula>AND(S$9&gt;=8/24,S$9&lt;14/24)</formula>
    </cfRule>
    <cfRule type="expression" dxfId="620" priority="139">
      <formula>S$9&lt;8/24</formula>
    </cfRule>
  </conditionalFormatting>
  <conditionalFormatting sqref="B9:AF10 S39:X39 S11:Z38 Y39:Z45 AA11:AF45">
    <cfRule type="expression" dxfId="619" priority="125">
      <formula>B$9&gt;=20/24</formula>
    </cfRule>
    <cfRule type="expression" dxfId="618" priority="126">
      <formula>AND(B$9&gt;=14/24,B$9&lt;20/24)</formula>
    </cfRule>
    <cfRule type="expression" dxfId="617" priority="127">
      <formula>AND(B$9&gt;=8/24,B$9&lt;14/24)</formula>
    </cfRule>
    <cfRule type="expression" dxfId="616" priority="128">
      <formula>B$9&lt;8/24</formula>
    </cfRule>
  </conditionalFormatting>
  <conditionalFormatting sqref="S39:X39 S11:Z38 Y39:Z46 AA11:AF46">
    <cfRule type="expression" dxfId="615" priority="124">
      <formula>S11&gt;$AG11</formula>
    </cfRule>
  </conditionalFormatting>
  <conditionalFormatting sqref="Y46:AF46">
    <cfRule type="expression" dxfId="614" priority="120">
      <formula>Y$9&gt;=20/24</formula>
    </cfRule>
    <cfRule type="expression" dxfId="613" priority="121">
      <formula>AND(Y$9&gt;=14/24,Y$9&lt;20/24)</formula>
    </cfRule>
    <cfRule type="expression" dxfId="612" priority="122">
      <formula>AND(Y$9&gt;=8/24,Y$9&lt;14/24)</formula>
    </cfRule>
    <cfRule type="expression" dxfId="611" priority="123">
      <formula>Y$9&lt;8/24</formula>
    </cfRule>
  </conditionalFormatting>
  <conditionalFormatting sqref="Y47:AF47">
    <cfRule type="expression" dxfId="610" priority="134">
      <formula>Y47&gt;$AG47</formula>
    </cfRule>
  </conditionalFormatting>
  <conditionalFormatting sqref="E49:AA49 X48:Y48 Y47 Z47:AA48 AB47:AF49">
    <cfRule type="expression" dxfId="609" priority="130">
      <formula>E$9&gt;=20/24</formula>
    </cfRule>
    <cfRule type="expression" dxfId="608" priority="131">
      <formula>AND(E$9&gt;=14/24,E$9&lt;20/24)</formula>
    </cfRule>
    <cfRule type="expression" dxfId="607" priority="132">
      <formula>AND(E$9&gt;=8/24,E$9&lt;14/24)</formula>
    </cfRule>
    <cfRule type="expression" dxfId="606" priority="133">
      <formula>E$9&lt;8/24</formula>
    </cfRule>
  </conditionalFormatting>
  <conditionalFormatting sqref="E49:AA49 J51:S53 E50:S50 X48:AA48 AB48:AF49 T50:AF53">
    <cfRule type="expression" dxfId="605" priority="129">
      <formula>E48&gt;$AG48</formula>
    </cfRule>
  </conditionalFormatting>
  <conditionalFormatting sqref="J51:AF53">
    <cfRule type="expression" dxfId="604" priority="149">
      <formula>J$9&gt;=20/24</formula>
    </cfRule>
    <cfRule type="expression" dxfId="603" priority="150">
      <formula>AND(J$9&gt;=14/24,J$9&lt;20/24)</formula>
    </cfRule>
    <cfRule type="expression" dxfId="602" priority="151">
      <formula>AND(J$9&gt;=8/24,J$9&lt;14/24)</formula>
    </cfRule>
    <cfRule type="expression" dxfId="601" priority="152">
      <formula>J$9&lt;8/24</formula>
    </cfRule>
  </conditionalFormatting>
  <conditionalFormatting sqref="E69:AF71">
    <cfRule type="expression" dxfId="600" priority="157">
      <formula>E69&gt;$AG69</formula>
    </cfRule>
    <cfRule type="expression" dxfId="599" priority="158">
      <formula>E$9&gt;=20/24</formula>
    </cfRule>
    <cfRule type="expression" dxfId="598" priority="159">
      <formula>AND(E$9&gt;=14/24,E$9&lt;20/24)</formula>
    </cfRule>
    <cfRule type="expression" dxfId="597" priority="160">
      <formula>AND(E$9&gt;=8/24,E$9&lt;14/24)</formula>
    </cfRule>
    <cfRule type="expression" dxfId="596" priority="161">
      <formula>E$9&lt;8/24</formula>
    </cfRule>
  </conditionalFormatting>
  <conditionalFormatting sqref="E84:AF91 E76:J76 K76:L77 M76:AF83 E73:AF75">
    <cfRule type="expression" dxfId="595" priority="103">
      <formula>E$9&gt;=20/24</formula>
    </cfRule>
    <cfRule type="expression" dxfId="594" priority="104">
      <formula>AND(E$9&gt;=14/24,E$9&lt;20/24)</formula>
    </cfRule>
    <cfRule type="expression" dxfId="593" priority="105">
      <formula>AND(E$9&gt;=8/24,E$9&lt;14/24)</formula>
    </cfRule>
    <cfRule type="expression" dxfId="592" priority="106">
      <formula>E$9&lt;8/24</formula>
    </cfRule>
  </conditionalFormatting>
  <conditionalFormatting sqref="C111:AF120">
    <cfRule type="expression" dxfId="591" priority="116">
      <formula>C$9&gt;=20/24</formula>
    </cfRule>
    <cfRule type="expression" dxfId="590" priority="117">
      <formula>AND(C$9&gt;=14/24,C$9&lt;20/24)</formula>
    </cfRule>
    <cfRule type="expression" dxfId="589" priority="118">
      <formula>AND(C$9&gt;=8/24,C$9&lt;14/24)</formula>
    </cfRule>
    <cfRule type="expression" dxfId="588" priority="119">
      <formula>C$9&lt;8/24</formula>
    </cfRule>
  </conditionalFormatting>
  <conditionalFormatting sqref="B227:AF227 D229:AF230 B229:B235 D231:H231 J231:AF231 D232:AF235 U248:AF248">
    <cfRule type="expression" dxfId="587" priority="210">
      <formula>B$9&gt;=20/24</formula>
    </cfRule>
    <cfRule type="expression" dxfId="586" priority="211">
      <formula>AND(B$9&gt;=14/24,B$9&lt;20/24)</formula>
    </cfRule>
    <cfRule type="expression" dxfId="585" priority="212">
      <formula>AND(B$9&gt;=8/24,B$9&lt;14/24)</formula>
    </cfRule>
    <cfRule type="expression" dxfId="584" priority="213">
      <formula>B$9&lt;8/24</formula>
    </cfRule>
  </conditionalFormatting>
  <conditionalFormatting sqref="E67:AG68 E72:AG72">
    <cfRule type="expression" dxfId="583" priority="144">
      <formula>E67&gt;$AG67</formula>
    </cfRule>
  </conditionalFormatting>
  <conditionalFormatting sqref="E72:AG72 C109:D109 E93:AF109">
    <cfRule type="expression" dxfId="582" priority="145">
      <formula>C$9&gt;=20/24</formula>
    </cfRule>
    <cfRule type="expression" dxfId="581" priority="146">
      <formula>AND(C$9&gt;=14/24,C$9&lt;20/24)</formula>
    </cfRule>
    <cfRule type="expression" dxfId="580" priority="147">
      <formula>AND(C$9&gt;=8/24,C$9&lt;14/24)</formula>
    </cfRule>
    <cfRule type="expression" dxfId="579" priority="148">
      <formula>C$9&lt;8/24</formula>
    </cfRule>
  </conditionalFormatting>
  <conditionalFormatting sqref="W55:Y58 E55:V60 S61:V62 X59:Y59 W59:W62 Y60:Y66 X60:X62 Z55:AF66">
    <cfRule type="expression" dxfId="578" priority="107">
      <formula>E55&gt;$AG55</formula>
    </cfRule>
  </conditionalFormatting>
  <conditionalFormatting sqref="E54:AG54">
    <cfRule type="expression" dxfId="577" priority="178">
      <formula>E54&gt;$AG54</formula>
    </cfRule>
    <cfRule type="expression" dxfId="576" priority="179">
      <formula>E$9&gt;=20/24</formula>
    </cfRule>
    <cfRule type="expression" dxfId="575" priority="180">
      <formula>AND(E$9&gt;=14/24,E$9&lt;20/24)</formula>
    </cfRule>
    <cfRule type="expression" dxfId="574" priority="181">
      <formula>AND(E$9&gt;=8/24,E$9&lt;14/24)</formula>
    </cfRule>
    <cfRule type="expression" dxfId="573" priority="182">
      <formula>E$9&lt;8/24</formula>
    </cfRule>
  </conditionalFormatting>
  <conditionalFormatting sqref="E55:R57">
    <cfRule type="expression" dxfId="572" priority="191">
      <formula>E$9&gt;=20/24</formula>
    </cfRule>
    <cfRule type="expression" dxfId="571" priority="192">
      <formula>AND(E$9&gt;=14/24,E$9&lt;20/24)</formula>
    </cfRule>
    <cfRule type="expression" dxfId="570" priority="193">
      <formula>AND(E$9&gt;=8/24,E$9&lt;14/24)</formula>
    </cfRule>
    <cfRule type="expression" dxfId="569" priority="194">
      <formula>E$9&lt;8/24</formula>
    </cfRule>
  </conditionalFormatting>
  <conditionalFormatting sqref="O3:P3">
    <cfRule type="iconSet" priority="214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568" priority="216">
      <formula>C$9&gt;=20/24</formula>
    </cfRule>
  </conditionalFormatting>
  <conditionalFormatting sqref="S8">
    <cfRule type="expression" dxfId="567" priority="203">
      <formula>U$9&gt;=20/24</formula>
    </cfRule>
    <cfRule type="expression" dxfId="566" priority="204">
      <formula>AND(U$9&gt;=14/24,U$9&lt;20/24)</formula>
    </cfRule>
    <cfRule type="expression" dxfId="565" priority="205">
      <formula>AND(U$9&gt;=8/24,U$9&lt;14/24)</formula>
    </cfRule>
    <cfRule type="expression" dxfId="564" priority="206">
      <formula>U$9&lt;8/24</formula>
    </cfRule>
  </conditionalFormatting>
  <conditionalFormatting sqref="S55:AF60">
    <cfRule type="expression" dxfId="563" priority="112">
      <formula>S$9&gt;=20/24</formula>
    </cfRule>
    <cfRule type="expression" dxfId="562" priority="113">
      <formula>AND(S$9&gt;=14/24,S$9&lt;20/24)</formula>
    </cfRule>
    <cfRule type="expression" dxfId="561" priority="114">
      <formula>AND(S$9&gt;=8/24,S$9&lt;14/24)</formula>
    </cfRule>
    <cfRule type="expression" dxfId="560" priority="115">
      <formula>S$9&lt;8/24</formula>
    </cfRule>
  </conditionalFormatting>
  <conditionalFormatting sqref="T248">
    <cfRule type="expression" dxfId="559" priority="228">
      <formula>AX$9&gt;=20/24</formula>
    </cfRule>
    <cfRule type="expression" dxfId="558" priority="229">
      <formula>AND(AX$9&gt;=14/24,AX$9&lt;20/24)</formula>
    </cfRule>
    <cfRule type="expression" dxfId="557" priority="230">
      <formula>AND(AX$9&gt;=8/24,AX$9&lt;14/24)</formula>
    </cfRule>
    <cfRule type="expression" dxfId="556" priority="231">
      <formula>AX$9&lt;8/24</formula>
    </cfRule>
  </conditionalFormatting>
  <conditionalFormatting sqref="V3 AB3">
    <cfRule type="iconSet" priority="215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555" priority="199">
      <formula>AD$9&gt;=20/24</formula>
    </cfRule>
    <cfRule type="expression" dxfId="554" priority="200">
      <formula>AND(AD$9&gt;=14/24,AD$9&lt;20/24)</formula>
    </cfRule>
    <cfRule type="expression" dxfId="553" priority="201">
      <formula>AND(AD$9&gt;=8/24,AD$9&lt;14/24)</formula>
    </cfRule>
    <cfRule type="expression" dxfId="552" priority="202">
      <formula>AD$9&lt;8/24</formula>
    </cfRule>
  </conditionalFormatting>
  <conditionalFormatting sqref="AE61:AF66">
    <cfRule type="expression" dxfId="551" priority="108">
      <formula>AE$9&gt;=20/24</formula>
    </cfRule>
    <cfRule type="expression" dxfId="550" priority="109">
      <formula>AND(AE$9&gt;=14/24,AE$9&lt;20/24)</formula>
    </cfRule>
    <cfRule type="expression" dxfId="549" priority="110">
      <formula>AND(AE$9&gt;=8/24,AE$9&lt;14/24)</formula>
    </cfRule>
    <cfRule type="expression" dxfId="548" priority="111">
      <formula>AE$9&lt;8/24</formula>
    </cfRule>
  </conditionalFormatting>
  <conditionalFormatting sqref="AG50">
    <cfRule type="expression" dxfId="547" priority="186">
      <formula>AG50&gt;$AG50</formula>
    </cfRule>
  </conditionalFormatting>
  <conditionalFormatting sqref="AG89">
    <cfRule type="expression" dxfId="546" priority="187">
      <formula>AG$9&gt;=20/24</formula>
    </cfRule>
    <cfRule type="expression" dxfId="545" priority="188">
      <formula>AND(AG$9&gt;=14/24,AG$9&lt;20/24)</formula>
    </cfRule>
    <cfRule type="expression" dxfId="544" priority="189">
      <formula>AND(AG$9&gt;=8/24,AG$9&lt;14/24)</formula>
    </cfRule>
    <cfRule type="expression" dxfId="543" priority="190">
      <formula>AG$9&lt;8/24</formula>
    </cfRule>
  </conditionalFormatting>
  <conditionalFormatting sqref="AG248">
    <cfRule type="expression" dxfId="542" priority="220">
      <formula>B$9&gt;=20/24</formula>
    </cfRule>
    <cfRule type="expression" dxfId="541" priority="221">
      <formula>AND(B$9&gt;=14/24,B$9&lt;20/24)</formula>
    </cfRule>
    <cfRule type="expression" dxfId="540" priority="222">
      <formula>AND(B$9&gt;=8/24,B$9&lt;14/24)</formula>
    </cfRule>
    <cfRule type="expression" dxfId="539" priority="223">
      <formula>B$9&lt;8/24</formula>
    </cfRule>
  </conditionalFormatting>
  <conditionalFormatting sqref="AH248:AX248">
    <cfRule type="expression" dxfId="538" priority="224">
      <formula>AG$9&gt;=20/24</formula>
    </cfRule>
    <cfRule type="expression" dxfId="537" priority="225">
      <formula>AND(AG$9&gt;=14/24,AG$9&lt;20/24)</formula>
    </cfRule>
    <cfRule type="expression" dxfId="536" priority="226">
      <formula>AND(AG$9&gt;=8/24,AG$9&lt;14/24)</formula>
    </cfRule>
    <cfRule type="expression" dxfId="535" priority="227">
      <formula>AG$9&lt;8/24</formula>
    </cfRule>
  </conditionalFormatting>
  <conditionalFormatting sqref="AL4:AL6">
    <cfRule type="iconSet" priority="209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69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184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68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183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185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208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207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67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232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534" priority="233">
      <formula>AJ$9&gt;=20/24</formula>
    </cfRule>
    <cfRule type="expression" dxfId="533" priority="234">
      <formula>AND(AJ$9&gt;=14/24,AJ$9&lt;20/24)</formula>
    </cfRule>
    <cfRule type="expression" dxfId="532" priority="235">
      <formula>AND(AJ$9&gt;=8/24,AJ$9&lt;14/24)</formula>
    </cfRule>
    <cfRule type="expression" dxfId="531" priority="236">
      <formula>AJ$9&lt;8/24</formula>
    </cfRule>
  </conditionalFormatting>
  <conditionalFormatting sqref="AL80:AN80 AL86:AN86">
    <cfRule type="expression" dxfId="530" priority="174">
      <formula>AL$9&gt;=20/24</formula>
    </cfRule>
    <cfRule type="expression" dxfId="529" priority="175">
      <formula>AND(AL$9&gt;=14/24,AL$9&lt;20/24)</formula>
    </cfRule>
    <cfRule type="expression" dxfId="528" priority="176">
      <formula>AND(AL$9&gt;=8/24,AL$9&lt;14/24)</formula>
    </cfRule>
    <cfRule type="expression" dxfId="527" priority="177">
      <formula>AL$9&lt;8/24</formula>
    </cfRule>
  </conditionalFormatting>
  <conditionalFormatting sqref="AN81:AN84">
    <cfRule type="expression" dxfId="526" priority="170">
      <formula>AN$9&gt;=20/24</formula>
    </cfRule>
    <cfRule type="expression" dxfId="525" priority="171">
      <formula>AND(AN$9&gt;=14/24,AN$9&lt;20/24)</formula>
    </cfRule>
    <cfRule type="expression" dxfId="524" priority="172">
      <formula>AND(AN$9&gt;=8/24,AN$9&lt;14/24)</formula>
    </cfRule>
    <cfRule type="expression" dxfId="523" priority="173">
      <formula>AN$9&lt;8/24</formula>
    </cfRule>
  </conditionalFormatting>
  <conditionalFormatting sqref="B11:R45 S40:X45">
    <cfRule type="expression" dxfId="522" priority="23">
      <formula>B$9&gt;=20/24</formula>
    </cfRule>
    <cfRule type="expression" dxfId="521" priority="24">
      <formula>AND(B$9&gt;=14/24,B$9&lt;20/24)</formula>
    </cfRule>
    <cfRule type="expression" dxfId="520" priority="25">
      <formula>AND(B$9&gt;=8/24,B$9&lt;14/24)</formula>
    </cfRule>
    <cfRule type="expression" dxfId="519" priority="26">
      <formula>B$9&lt;8/24</formula>
    </cfRule>
  </conditionalFormatting>
  <conditionalFormatting sqref="B11:R46 S40:X46">
    <cfRule type="expression" dxfId="518" priority="22">
      <formula>B11&gt;$AG11</formula>
    </cfRule>
  </conditionalFormatting>
  <conditionalFormatting sqref="B46:X46">
    <cfRule type="expression" dxfId="517" priority="18">
      <formula>B$9&gt;=20/24</formula>
    </cfRule>
    <cfRule type="expression" dxfId="516" priority="19">
      <formula>AND(B$9&gt;=14/24,B$9&lt;20/24)</formula>
    </cfRule>
    <cfRule type="expression" dxfId="515" priority="20">
      <formula>AND(B$9&gt;=8/24,B$9&lt;14/24)</formula>
    </cfRule>
    <cfRule type="expression" dxfId="514" priority="21">
      <formula>B$9&lt;8/24</formula>
    </cfRule>
  </conditionalFormatting>
  <conditionalFormatting sqref="B47:X47">
    <cfRule type="expression" dxfId="513" priority="32">
      <formula>B47&gt;$AG47</formula>
    </cfRule>
  </conditionalFormatting>
  <conditionalFormatting sqref="B47:D49 E47:W48 X47">
    <cfRule type="expression" dxfId="512" priority="28">
      <formula>B$9&gt;=20/24</formula>
    </cfRule>
    <cfRule type="expression" dxfId="511" priority="29">
      <formula>AND(B$9&gt;=14/24,B$9&lt;20/24)</formula>
    </cfRule>
    <cfRule type="expression" dxfId="510" priority="30">
      <formula>AND(B$9&gt;=8/24,B$9&lt;14/24)</formula>
    </cfRule>
    <cfRule type="expression" dxfId="509" priority="31">
      <formula>B$9&lt;8/24</formula>
    </cfRule>
  </conditionalFormatting>
  <conditionalFormatting sqref="B48:D53 E51:I53 E48:W48">
    <cfRule type="expression" dxfId="508" priority="27">
      <formula>B48&gt;$AG48</formula>
    </cfRule>
  </conditionalFormatting>
  <conditionalFormatting sqref="B51:I53">
    <cfRule type="expression" dxfId="507" priority="38">
      <formula>B$9&gt;=20/24</formula>
    </cfRule>
    <cfRule type="expression" dxfId="506" priority="39">
      <formula>AND(B$9&gt;=14/24,B$9&lt;20/24)</formula>
    </cfRule>
    <cfRule type="expression" dxfId="505" priority="40">
      <formula>AND(B$9&gt;=8/24,B$9&lt;14/24)</formula>
    </cfRule>
    <cfRule type="expression" dxfId="504" priority="41">
      <formula>B$9&lt;8/24</formula>
    </cfRule>
  </conditionalFormatting>
  <conditionalFormatting sqref="B69:D71">
    <cfRule type="expression" dxfId="503" priority="42">
      <formula>B69&gt;$AG69</formula>
    </cfRule>
    <cfRule type="expression" dxfId="502" priority="43">
      <formula>B$9&gt;=20/24</formula>
    </cfRule>
    <cfRule type="expression" dxfId="501" priority="44">
      <formula>AND(B$9&gt;=14/24,B$9&lt;20/24)</formula>
    </cfRule>
    <cfRule type="expression" dxfId="500" priority="45">
      <formula>AND(B$9&gt;=8/24,B$9&lt;14/24)</formula>
    </cfRule>
    <cfRule type="expression" dxfId="499" priority="46">
      <formula>B$9&lt;8/24</formula>
    </cfRule>
  </conditionalFormatting>
  <conditionalFormatting sqref="B73:D91 E77:J83 K78:L83">
    <cfRule type="expression" dxfId="498" priority="5">
      <formula>B$9&gt;=20/24</formula>
    </cfRule>
    <cfRule type="expression" dxfId="497" priority="6">
      <formula>AND(B$9&gt;=14/24,B$9&lt;20/24)</formula>
    </cfRule>
    <cfRule type="expression" dxfId="496" priority="7">
      <formula>AND(B$9&gt;=8/24,B$9&lt;14/24)</formula>
    </cfRule>
    <cfRule type="expression" dxfId="495" priority="8">
      <formula>B$9&lt;8/24</formula>
    </cfRule>
  </conditionalFormatting>
  <conditionalFormatting sqref="B111:B120">
    <cfRule type="expression" dxfId="494" priority="14">
      <formula>B$9&gt;=20/24</formula>
    </cfRule>
    <cfRule type="expression" dxfId="493" priority="15">
      <formula>AND(B$9&gt;=14/24,B$9&lt;20/24)</formula>
    </cfRule>
    <cfRule type="expression" dxfId="492" priority="16">
      <formula>AND(B$9&gt;=8/24,B$9&lt;14/24)</formula>
    </cfRule>
    <cfRule type="expression" dxfId="491" priority="17">
      <formula>B$9&lt;8/24</formula>
    </cfRule>
  </conditionalFormatting>
  <conditionalFormatting sqref="B67:D68 B72:D72">
    <cfRule type="expression" dxfId="490" priority="33">
      <formula>B67&gt;$AG67</formula>
    </cfRule>
  </conditionalFormatting>
  <conditionalFormatting sqref="B93:B109 B72:D72 C93:D108">
    <cfRule type="expression" dxfId="489" priority="34">
      <formula>B$9&gt;=20/24</formula>
    </cfRule>
    <cfRule type="expression" dxfId="488" priority="35">
      <formula>AND(B$9&gt;=14/24,B$9&lt;20/24)</formula>
    </cfRule>
    <cfRule type="expression" dxfId="487" priority="36">
      <formula>AND(B$9&gt;=8/24,B$9&lt;14/24)</formula>
    </cfRule>
    <cfRule type="expression" dxfId="486" priority="37">
      <formula>B$9&lt;8/24</formula>
    </cfRule>
  </conditionalFormatting>
  <conditionalFormatting sqref="B55:D66 E61:R66 S63:X66">
    <cfRule type="expression" dxfId="485" priority="9">
      <formula>B55&gt;$AG55</formula>
    </cfRule>
  </conditionalFormatting>
  <conditionalFormatting sqref="B54:D54">
    <cfRule type="expression" dxfId="484" priority="47">
      <formula>B54&gt;$AG54</formula>
    </cfRule>
    <cfRule type="expression" dxfId="483" priority="48">
      <formula>B$9&gt;=20/24</formula>
    </cfRule>
    <cfRule type="expression" dxfId="482" priority="49">
      <formula>AND(B$9&gt;=14/24,B$9&lt;20/24)</formula>
    </cfRule>
    <cfRule type="expression" dxfId="481" priority="50">
      <formula>AND(B$9&gt;=8/24,B$9&lt;14/24)</formula>
    </cfRule>
    <cfRule type="expression" dxfId="480" priority="51">
      <formula>B$9&lt;8/24</formula>
    </cfRule>
  </conditionalFormatting>
  <conditionalFormatting sqref="B55:D60">
    <cfRule type="expression" dxfId="479" priority="10">
      <formula>B$9&gt;=20/24</formula>
    </cfRule>
    <cfRule type="expression" dxfId="478" priority="11">
      <formula>AND(B$9&gt;=14/24,B$9&lt;20/24)</formula>
    </cfRule>
    <cfRule type="expression" dxfId="477" priority="12">
      <formula>AND(B$9&gt;=8/24,B$9&lt;14/24)</formula>
    </cfRule>
    <cfRule type="expression" dxfId="476" priority="13">
      <formula>B$9&lt;8/24</formula>
    </cfRule>
  </conditionalFormatting>
  <conditionalFormatting sqref="B61:R66 S63:X66">
    <cfRule type="expression" dxfId="475" priority="1">
      <formula>B$9&gt;=20/24</formula>
    </cfRule>
    <cfRule type="expression" dxfId="474" priority="2">
      <formula>AND(B$9&gt;=14/24,B$9&lt;20/24)</formula>
    </cfRule>
    <cfRule type="expression" dxfId="473" priority="3">
      <formula>AND(B$9&gt;=8/24,B$9&lt;14/24)</formula>
    </cfRule>
    <cfRule type="expression" dxfId="472" priority="4">
      <formula>B$9&lt;8/24</formula>
    </cfRule>
  </conditionalFormatting>
  <pageMargins left="0.7" right="0.7" top="0.75" bottom="0.75" header="0.3" footer="0.3"/>
  <drawing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5A0C-F478-401D-8F21-B4440D675574}">
  <sheetPr codeName="Sheet52"/>
  <dimension ref="A1:CJ281"/>
  <sheetViews>
    <sheetView zoomScale="106" zoomScaleNormal="106" workbookViewId="0">
      <pane xSplit="1" ySplit="10" topLeftCell="B64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AK10" sqref="AK1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2080/06/28</v>
      </c>
      <c r="C4" s="201"/>
      <c r="D4" s="201"/>
      <c r="E4" s="202" t="str">
        <f ca="1">"2080/"&amp;"06/"&amp;INT(MID(CELL("filename",G6),FIND("]",CELL("filename",G6))+1,200))</f>
        <v>2080/06/28</v>
      </c>
      <c r="F4" s="202"/>
      <c r="G4" s="202"/>
      <c r="H4" s="202" t="str">
        <f ca="1">TEXT(E4,"dddd")</f>
        <v>Friday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31.6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2081MW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Load=1842</v>
      </c>
      <c r="B7" s="35">
        <f t="shared" ref="B7:AF7" si="1">B91</f>
        <v>1887.34</v>
      </c>
      <c r="C7" s="35">
        <f t="shared" si="1"/>
        <v>1881.24</v>
      </c>
      <c r="D7" s="35">
        <f t="shared" si="1"/>
        <v>1878.3400000000001</v>
      </c>
      <c r="E7" s="35">
        <f t="shared" si="1"/>
        <v>1842.1399999999999</v>
      </c>
      <c r="F7" s="35">
        <f t="shared" si="1"/>
        <v>1842.1399999999999</v>
      </c>
      <c r="G7" s="35">
        <f t="shared" si="1"/>
        <v>1864.34</v>
      </c>
      <c r="H7" s="35">
        <f t="shared" si="1"/>
        <v>1894.04</v>
      </c>
      <c r="I7" s="35">
        <f t="shared" si="1"/>
        <v>1927.04</v>
      </c>
      <c r="J7" s="35">
        <f t="shared" si="1"/>
        <v>1968.9399999999998</v>
      </c>
      <c r="K7" s="35">
        <f t="shared" si="1"/>
        <v>1992.9399999999998</v>
      </c>
      <c r="L7" s="35">
        <f t="shared" si="1"/>
        <v>2021.3399999999997</v>
      </c>
      <c r="M7" s="35">
        <f t="shared" si="1"/>
        <v>2061.94</v>
      </c>
      <c r="N7" s="35">
        <f>N91</f>
        <v>2080.54</v>
      </c>
      <c r="O7" s="35">
        <f t="shared" si="1"/>
        <v>2078.4400000000005</v>
      </c>
      <c r="P7" s="35">
        <f t="shared" si="1"/>
        <v>2077.44</v>
      </c>
      <c r="Q7" s="35">
        <f t="shared" si="1"/>
        <v>2053.6400000000003</v>
      </c>
      <c r="R7" s="35">
        <f t="shared" si="1"/>
        <v>2013.3400000000001</v>
      </c>
      <c r="S7" s="35">
        <f t="shared" si="1"/>
        <v>2034.64</v>
      </c>
      <c r="T7" s="35">
        <f t="shared" si="1"/>
        <v>2034.94</v>
      </c>
      <c r="U7" s="35">
        <f t="shared" si="1"/>
        <v>2018.54</v>
      </c>
      <c r="V7" s="35">
        <f t="shared" si="1"/>
        <v>2014.8400000000001</v>
      </c>
      <c r="W7" s="35">
        <f t="shared" si="1"/>
        <v>2130.84</v>
      </c>
      <c r="X7" s="35">
        <f t="shared" si="1"/>
        <v>2212.3399999999997</v>
      </c>
      <c r="Y7" s="35">
        <f t="shared" si="1"/>
        <v>2255.54</v>
      </c>
      <c r="Z7" s="35">
        <f t="shared" si="1"/>
        <v>2196.94</v>
      </c>
      <c r="AA7" s="35">
        <f t="shared" si="1"/>
        <v>2150.54</v>
      </c>
      <c r="AB7" s="35">
        <f t="shared" si="1"/>
        <v>2147.54</v>
      </c>
      <c r="AC7" s="35">
        <f t="shared" si="1"/>
        <v>2103.94</v>
      </c>
      <c r="AD7" s="35">
        <f t="shared" si="1"/>
        <v>2081.94</v>
      </c>
      <c r="AE7" s="35">
        <f t="shared" si="1"/>
        <v>2026.1399999999999</v>
      </c>
      <c r="AF7" s="35">
        <f t="shared" si="1"/>
        <v>2026.1399999999999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90.4</v>
      </c>
      <c r="C11" s="45">
        <v>90.4</v>
      </c>
      <c r="D11" s="45">
        <v>90.4</v>
      </c>
      <c r="E11" s="45">
        <v>90.4</v>
      </c>
      <c r="F11" s="45">
        <v>90.4</v>
      </c>
      <c r="G11" s="45">
        <v>90.4</v>
      </c>
      <c r="H11" s="45">
        <v>90.4</v>
      </c>
      <c r="I11" s="45">
        <v>90.4</v>
      </c>
      <c r="J11" s="45">
        <v>90.4</v>
      </c>
      <c r="K11" s="45">
        <v>90.4</v>
      </c>
      <c r="L11" s="45">
        <v>90.4</v>
      </c>
      <c r="M11" s="45">
        <v>90.4</v>
      </c>
      <c r="N11" s="45">
        <v>90.4</v>
      </c>
      <c r="O11" s="45">
        <v>90.4</v>
      </c>
      <c r="P11" s="45">
        <v>90.4</v>
      </c>
      <c r="Q11" s="45">
        <v>90.4</v>
      </c>
      <c r="R11" s="45">
        <v>90.4</v>
      </c>
      <c r="S11" s="45">
        <v>90.4</v>
      </c>
      <c r="T11" s="45">
        <v>90.4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>
        <v>90.4</v>
      </c>
      <c r="AB11" s="45">
        <v>90.4</v>
      </c>
      <c r="AC11" s="45">
        <v>90.4</v>
      </c>
      <c r="AD11" s="45">
        <v>90.4</v>
      </c>
      <c r="AE11" s="45">
        <v>90.4</v>
      </c>
      <c r="AF11" s="45">
        <v>90.4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90.4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8</v>
      </c>
      <c r="J12" s="45">
        <v>13</v>
      </c>
      <c r="K12" s="45">
        <v>13</v>
      </c>
      <c r="L12" s="45">
        <v>13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8</v>
      </c>
      <c r="AF12" s="45">
        <v>8</v>
      </c>
      <c r="AG12" s="49">
        <v>54</v>
      </c>
      <c r="AH12" s="47">
        <f t="shared" si="2"/>
        <v>13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54.1</v>
      </c>
      <c r="C13" s="45">
        <v>54.1</v>
      </c>
      <c r="D13" s="45">
        <v>54.1</v>
      </c>
      <c r="E13" s="45">
        <v>54.1</v>
      </c>
      <c r="F13" s="45">
        <v>54.1</v>
      </c>
      <c r="G13" s="45">
        <v>54.1</v>
      </c>
      <c r="H13" s="45">
        <v>54.1</v>
      </c>
      <c r="I13" s="45">
        <v>54.1</v>
      </c>
      <c r="J13" s="45">
        <v>54.1</v>
      </c>
      <c r="K13" s="45">
        <v>54.1</v>
      </c>
      <c r="L13" s="45">
        <v>54.1</v>
      </c>
      <c r="M13" s="45">
        <v>54.2</v>
      </c>
      <c r="N13" s="45">
        <v>54.2</v>
      </c>
      <c r="O13" s="45">
        <v>54.2</v>
      </c>
      <c r="P13" s="45">
        <v>54.2</v>
      </c>
      <c r="Q13" s="45">
        <v>54.2</v>
      </c>
      <c r="R13" s="45">
        <v>54.2</v>
      </c>
      <c r="S13" s="45">
        <v>54.2</v>
      </c>
      <c r="T13" s="45">
        <v>54.2</v>
      </c>
      <c r="U13" s="45">
        <v>54.2</v>
      </c>
      <c r="V13" s="45">
        <v>54.2</v>
      </c>
      <c r="W13" s="45">
        <v>54.2</v>
      </c>
      <c r="X13" s="45">
        <v>54.2</v>
      </c>
      <c r="Y13" s="45">
        <v>54.2</v>
      </c>
      <c r="Z13" s="45">
        <v>54.2</v>
      </c>
      <c r="AA13" s="45">
        <v>54.2</v>
      </c>
      <c r="AB13" s="45">
        <v>54.2</v>
      </c>
      <c r="AC13" s="45">
        <v>54.2</v>
      </c>
      <c r="AD13" s="45">
        <v>54.2</v>
      </c>
      <c r="AE13" s="45">
        <v>54.2</v>
      </c>
      <c r="AF13" s="45">
        <v>54.2</v>
      </c>
      <c r="AG13" s="46">
        <v>52.4</v>
      </c>
      <c r="AH13" s="47">
        <f t="shared" si="2"/>
        <v>54.2</v>
      </c>
      <c r="AI13" s="48">
        <f t="shared" si="3"/>
        <v>54.1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50.7</v>
      </c>
      <c r="C14" s="58">
        <v>50.7</v>
      </c>
      <c r="D14" s="58">
        <v>50.7</v>
      </c>
      <c r="E14" s="58">
        <v>50.7</v>
      </c>
      <c r="F14" s="58">
        <v>50.7</v>
      </c>
      <c r="G14" s="58">
        <v>50.7</v>
      </c>
      <c r="H14" s="58">
        <v>50.7</v>
      </c>
      <c r="I14" s="58">
        <v>50.7</v>
      </c>
      <c r="J14" s="58">
        <v>50.7</v>
      </c>
      <c r="K14" s="58">
        <v>50.7</v>
      </c>
      <c r="L14" s="58">
        <v>50.7</v>
      </c>
      <c r="M14" s="58">
        <v>50.6</v>
      </c>
      <c r="N14" s="58">
        <v>50.6</v>
      </c>
      <c r="O14" s="58">
        <v>50.6</v>
      </c>
      <c r="P14" s="58">
        <v>50.6</v>
      </c>
      <c r="Q14" s="58">
        <v>50.6</v>
      </c>
      <c r="R14" s="58">
        <v>50.6</v>
      </c>
      <c r="S14" s="58">
        <v>50.6</v>
      </c>
      <c r="T14" s="58">
        <v>50.6</v>
      </c>
      <c r="U14" s="58">
        <v>50.6</v>
      </c>
      <c r="V14" s="58">
        <v>50.6</v>
      </c>
      <c r="W14" s="58">
        <v>50.6</v>
      </c>
      <c r="X14" s="58">
        <v>50.6</v>
      </c>
      <c r="Y14" s="58">
        <v>50.6</v>
      </c>
      <c r="Z14" s="58">
        <v>50.6</v>
      </c>
      <c r="AA14" s="58">
        <v>50.6</v>
      </c>
      <c r="AB14" s="58">
        <v>50.6</v>
      </c>
      <c r="AC14" s="58">
        <v>50.6</v>
      </c>
      <c r="AD14" s="58">
        <v>50.6</v>
      </c>
      <c r="AE14" s="58">
        <v>50.6</v>
      </c>
      <c r="AF14" s="58">
        <v>50.6</v>
      </c>
      <c r="AG14" s="49">
        <v>50</v>
      </c>
      <c r="AH14" s="47">
        <f t="shared" si="2"/>
        <v>50.7</v>
      </c>
      <c r="AI14" s="48">
        <f t="shared" si="3"/>
        <v>50.6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37</v>
      </c>
      <c r="C15" s="45">
        <v>37</v>
      </c>
      <c r="D15" s="45">
        <v>37</v>
      </c>
      <c r="E15" s="45">
        <v>37</v>
      </c>
      <c r="F15" s="45">
        <v>37</v>
      </c>
      <c r="G15" s="45">
        <v>37</v>
      </c>
      <c r="H15" s="45">
        <v>37</v>
      </c>
      <c r="I15" s="45">
        <v>37</v>
      </c>
      <c r="J15" s="45">
        <v>46</v>
      </c>
      <c r="K15" s="45">
        <v>46</v>
      </c>
      <c r="L15" s="45">
        <v>46</v>
      </c>
      <c r="M15" s="45">
        <v>46.3</v>
      </c>
      <c r="N15" s="45">
        <v>46.3</v>
      </c>
      <c r="O15" s="45">
        <v>46.3</v>
      </c>
      <c r="P15" s="45">
        <v>46.3</v>
      </c>
      <c r="Q15" s="45">
        <v>46.3</v>
      </c>
      <c r="R15" s="45">
        <v>46.3</v>
      </c>
      <c r="S15" s="45">
        <v>46.3</v>
      </c>
      <c r="T15" s="45">
        <v>46.3</v>
      </c>
      <c r="U15" s="45">
        <v>46.3</v>
      </c>
      <c r="V15" s="45">
        <v>46.3</v>
      </c>
      <c r="W15" s="45">
        <v>46.3</v>
      </c>
      <c r="X15" s="45">
        <v>46.3</v>
      </c>
      <c r="Y15" s="45">
        <v>46.3</v>
      </c>
      <c r="Z15" s="45">
        <v>46.3</v>
      </c>
      <c r="AA15" s="45">
        <v>46.3</v>
      </c>
      <c r="AB15" s="45">
        <v>46.3</v>
      </c>
      <c r="AC15" s="45">
        <v>46.3</v>
      </c>
      <c r="AD15" s="45">
        <v>46.3</v>
      </c>
      <c r="AE15" s="45">
        <v>46.3</v>
      </c>
      <c r="AF15" s="45">
        <v>46.3</v>
      </c>
      <c r="AG15" s="49">
        <v>45</v>
      </c>
      <c r="AH15" s="47">
        <f t="shared" si="2"/>
        <v>46.3</v>
      </c>
      <c r="AI15" s="48">
        <f t="shared" si="3"/>
        <v>37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44</v>
      </c>
      <c r="AE16" s="45">
        <v>44</v>
      </c>
      <c r="AF16" s="45">
        <v>44</v>
      </c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30</v>
      </c>
      <c r="C17" s="45">
        <v>30</v>
      </c>
      <c r="D17" s="45">
        <v>29</v>
      </c>
      <c r="E17" s="45">
        <v>29</v>
      </c>
      <c r="F17" s="45">
        <v>29</v>
      </c>
      <c r="G17" s="45">
        <v>29</v>
      </c>
      <c r="H17" s="45">
        <v>29</v>
      </c>
      <c r="I17" s="45">
        <v>29</v>
      </c>
      <c r="J17" s="45">
        <v>29</v>
      </c>
      <c r="K17" s="45">
        <v>29</v>
      </c>
      <c r="L17" s="45">
        <v>29</v>
      </c>
      <c r="M17" s="45">
        <v>29</v>
      </c>
      <c r="N17" s="45">
        <v>41</v>
      </c>
      <c r="O17" s="45">
        <v>41</v>
      </c>
      <c r="P17" s="45">
        <v>35</v>
      </c>
      <c r="Q17" s="45">
        <v>32</v>
      </c>
      <c r="R17" s="45">
        <v>29</v>
      </c>
      <c r="S17" s="45">
        <v>29</v>
      </c>
      <c r="T17" s="45">
        <v>29</v>
      </c>
      <c r="U17" s="45">
        <v>29</v>
      </c>
      <c r="V17" s="45">
        <v>29</v>
      </c>
      <c r="W17" s="45">
        <v>29</v>
      </c>
      <c r="X17" s="45">
        <v>41</v>
      </c>
      <c r="Y17" s="45">
        <v>41</v>
      </c>
      <c r="Z17" s="45">
        <v>41</v>
      </c>
      <c r="AA17" s="45">
        <v>35</v>
      </c>
      <c r="AB17" s="45">
        <v>32</v>
      </c>
      <c r="AC17" s="45">
        <v>32</v>
      </c>
      <c r="AD17" s="45">
        <v>32</v>
      </c>
      <c r="AE17" s="45">
        <v>28</v>
      </c>
      <c r="AF17" s="45">
        <v>28</v>
      </c>
      <c r="AG17" s="49">
        <v>42</v>
      </c>
      <c r="AH17" s="47">
        <f t="shared" si="2"/>
        <v>41</v>
      </c>
      <c r="AI17" s="48">
        <f t="shared" si="3"/>
        <v>28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28</v>
      </c>
      <c r="C18" s="45">
        <v>28</v>
      </c>
      <c r="D18" s="45">
        <v>28</v>
      </c>
      <c r="E18" s="45">
        <v>28</v>
      </c>
      <c r="F18" s="45">
        <v>28</v>
      </c>
      <c r="G18" s="45">
        <v>28</v>
      </c>
      <c r="H18" s="45">
        <v>28</v>
      </c>
      <c r="I18" s="45">
        <v>28</v>
      </c>
      <c r="J18" s="45">
        <v>28</v>
      </c>
      <c r="K18" s="45">
        <v>28</v>
      </c>
      <c r="L18" s="45">
        <v>28</v>
      </c>
      <c r="M18" s="45">
        <v>27</v>
      </c>
      <c r="N18" s="45">
        <v>27</v>
      </c>
      <c r="O18" s="45">
        <v>27</v>
      </c>
      <c r="P18" s="45">
        <v>27</v>
      </c>
      <c r="Q18" s="45">
        <v>27</v>
      </c>
      <c r="R18" s="45">
        <v>27</v>
      </c>
      <c r="S18" s="45">
        <v>27</v>
      </c>
      <c r="T18" s="45">
        <v>27</v>
      </c>
      <c r="U18" s="45">
        <v>27</v>
      </c>
      <c r="V18" s="45">
        <v>0</v>
      </c>
      <c r="W18" s="45">
        <v>27</v>
      </c>
      <c r="X18" s="45">
        <v>27</v>
      </c>
      <c r="Y18" s="45">
        <v>27</v>
      </c>
      <c r="Z18" s="45">
        <v>27</v>
      </c>
      <c r="AA18" s="45">
        <v>27</v>
      </c>
      <c r="AB18" s="45">
        <v>27</v>
      </c>
      <c r="AC18" s="45">
        <v>27</v>
      </c>
      <c r="AD18" s="45">
        <v>27</v>
      </c>
      <c r="AE18" s="45">
        <v>27</v>
      </c>
      <c r="AF18" s="45">
        <v>27</v>
      </c>
      <c r="AG18" s="49">
        <v>38.46</v>
      </c>
      <c r="AH18" s="47">
        <f t="shared" si="2"/>
        <v>28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5</v>
      </c>
      <c r="J20" s="45">
        <v>15</v>
      </c>
      <c r="K20" s="45">
        <v>15</v>
      </c>
      <c r="L20" s="45">
        <v>25</v>
      </c>
      <c r="M20" s="45">
        <v>15</v>
      </c>
      <c r="N20" s="45">
        <v>21</v>
      </c>
      <c r="O20" s="45">
        <v>21</v>
      </c>
      <c r="P20" s="45">
        <v>21</v>
      </c>
      <c r="Q20" s="45">
        <v>21</v>
      </c>
      <c r="R20" s="45">
        <v>18</v>
      </c>
      <c r="S20" s="45">
        <v>18</v>
      </c>
      <c r="T20" s="45">
        <v>18</v>
      </c>
      <c r="U20" s="45">
        <v>25.4</v>
      </c>
      <c r="V20" s="45">
        <v>25.4</v>
      </c>
      <c r="W20" s="45">
        <v>25.4</v>
      </c>
      <c r="X20" s="45">
        <v>30.1</v>
      </c>
      <c r="Y20" s="45">
        <v>30.1</v>
      </c>
      <c r="Z20" s="45">
        <v>30.1</v>
      </c>
      <c r="AA20" s="45">
        <v>30.1</v>
      </c>
      <c r="AB20" s="45">
        <v>30.1</v>
      </c>
      <c r="AC20" s="45">
        <v>10.5</v>
      </c>
      <c r="AD20" s="45">
        <v>10.5</v>
      </c>
      <c r="AE20" s="45">
        <v>5.7</v>
      </c>
      <c r="AF20" s="45">
        <v>5.7</v>
      </c>
      <c r="AG20" s="51">
        <v>30</v>
      </c>
      <c r="AH20" s="47">
        <f t="shared" si="2"/>
        <v>30.1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33.4</v>
      </c>
      <c r="C21" s="45">
        <v>33.4</v>
      </c>
      <c r="D21" s="45">
        <v>33.4</v>
      </c>
      <c r="E21" s="45">
        <v>33.4</v>
      </c>
      <c r="F21" s="45">
        <v>33.4</v>
      </c>
      <c r="G21" s="45">
        <v>33.4</v>
      </c>
      <c r="H21" s="45">
        <v>33.4</v>
      </c>
      <c r="I21" s="45">
        <v>33.4</v>
      </c>
      <c r="J21" s="45">
        <v>33.4</v>
      </c>
      <c r="K21" s="45">
        <v>33.4</v>
      </c>
      <c r="L21" s="45">
        <v>33.4</v>
      </c>
      <c r="M21" s="45">
        <v>33.4</v>
      </c>
      <c r="N21" s="45">
        <v>33.4</v>
      </c>
      <c r="O21" s="45">
        <v>33.4</v>
      </c>
      <c r="P21" s="45">
        <v>33.4</v>
      </c>
      <c r="Q21" s="45">
        <v>33.4</v>
      </c>
      <c r="R21" s="45">
        <v>33.4</v>
      </c>
      <c r="S21" s="45">
        <v>33.4</v>
      </c>
      <c r="T21" s="45">
        <v>33.4</v>
      </c>
      <c r="U21" s="45">
        <v>33.4</v>
      </c>
      <c r="V21" s="45">
        <v>33.4</v>
      </c>
      <c r="W21" s="45">
        <v>33.4</v>
      </c>
      <c r="X21" s="45">
        <v>33.4</v>
      </c>
      <c r="Y21" s="45">
        <v>33.4</v>
      </c>
      <c r="Z21" s="45">
        <v>33.4</v>
      </c>
      <c r="AA21" s="45">
        <v>33.4</v>
      </c>
      <c r="AB21" s="45">
        <v>33.4</v>
      </c>
      <c r="AC21" s="45">
        <v>33.4</v>
      </c>
      <c r="AD21" s="45">
        <v>33.4</v>
      </c>
      <c r="AE21" s="45">
        <v>33.4</v>
      </c>
      <c r="AF21" s="45">
        <v>33.4</v>
      </c>
      <c r="AG21" s="49">
        <v>24.2</v>
      </c>
      <c r="AH21" s="47">
        <f t="shared" si="2"/>
        <v>33.4</v>
      </c>
      <c r="AI21" s="48">
        <f t="shared" si="3"/>
        <v>33.4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>
        <v>28</v>
      </c>
      <c r="D22" s="45">
        <v>28</v>
      </c>
      <c r="E22" s="45">
        <v>28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>
        <v>28</v>
      </c>
      <c r="AE22" s="45">
        <v>28</v>
      </c>
      <c r="AF22" s="45">
        <v>28</v>
      </c>
      <c r="AG22" s="49">
        <v>28</v>
      </c>
      <c r="AH22" s="47">
        <f t="shared" si="2"/>
        <v>28</v>
      </c>
      <c r="AI22" s="48">
        <f t="shared" si="3"/>
        <v>28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4</v>
      </c>
      <c r="J23" s="45">
        <v>14</v>
      </c>
      <c r="K23" s="45">
        <v>14</v>
      </c>
      <c r="L23" s="45">
        <v>14</v>
      </c>
      <c r="M23" s="45">
        <v>20</v>
      </c>
      <c r="N23" s="45">
        <f>0.7*27</f>
        <v>18.899999999999999</v>
      </c>
      <c r="O23" s="45">
        <f>0.7*27</f>
        <v>18.899999999999999</v>
      </c>
      <c r="P23" s="45">
        <f>0.7*27</f>
        <v>18.899999999999999</v>
      </c>
      <c r="Q23" s="45">
        <f t="shared" ref="Q23" si="4">0.7*27</f>
        <v>18.899999999999999</v>
      </c>
      <c r="R23" s="45">
        <f>0.6*27</f>
        <v>16.2</v>
      </c>
      <c r="S23" s="45">
        <f>0.6*27</f>
        <v>16.2</v>
      </c>
      <c r="T23" s="45">
        <f>0.6*27</f>
        <v>16.2</v>
      </c>
      <c r="U23" s="45">
        <v>20</v>
      </c>
      <c r="V23" s="45">
        <v>27</v>
      </c>
      <c r="W23" s="45">
        <v>27</v>
      </c>
      <c r="X23" s="45">
        <v>27</v>
      </c>
      <c r="Y23" s="45">
        <v>27</v>
      </c>
      <c r="Z23" s="45">
        <v>27</v>
      </c>
      <c r="AA23" s="45">
        <v>27</v>
      </c>
      <c r="AB23" s="45">
        <v>27</v>
      </c>
      <c r="AC23" s="45">
        <v>20</v>
      </c>
      <c r="AD23" s="45">
        <v>9</v>
      </c>
      <c r="AE23" s="45">
        <v>4</v>
      </c>
      <c r="AF23" s="45">
        <v>4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24.5</v>
      </c>
      <c r="C24" s="45">
        <v>24.5</v>
      </c>
      <c r="D24" s="45">
        <v>24.5</v>
      </c>
      <c r="E24" s="45">
        <v>24.5</v>
      </c>
      <c r="F24" s="45">
        <v>24.5</v>
      </c>
      <c r="G24" s="45">
        <v>24.5</v>
      </c>
      <c r="H24" s="45">
        <v>24.5</v>
      </c>
      <c r="I24" s="45">
        <v>24.5</v>
      </c>
      <c r="J24" s="45">
        <v>24.5</v>
      </c>
      <c r="K24" s="45">
        <v>24.5</v>
      </c>
      <c r="L24" s="45">
        <v>24.5</v>
      </c>
      <c r="M24" s="45">
        <v>26.2</v>
      </c>
      <c r="N24" s="45">
        <v>26.2</v>
      </c>
      <c r="O24" s="45">
        <v>26.2</v>
      </c>
      <c r="P24" s="45">
        <v>26.2</v>
      </c>
      <c r="Q24" s="45">
        <v>26.2</v>
      </c>
      <c r="R24" s="45">
        <v>26.2</v>
      </c>
      <c r="S24" s="45">
        <v>26.2</v>
      </c>
      <c r="T24" s="45">
        <v>26.2</v>
      </c>
      <c r="U24" s="45">
        <v>26.2</v>
      </c>
      <c r="V24" s="45">
        <v>26.2</v>
      </c>
      <c r="W24" s="45">
        <v>26.2</v>
      </c>
      <c r="X24" s="45">
        <v>26.2</v>
      </c>
      <c r="Y24" s="45">
        <v>26.2</v>
      </c>
      <c r="Z24" s="45">
        <v>26.2</v>
      </c>
      <c r="AA24" s="45">
        <v>26.2</v>
      </c>
      <c r="AB24" s="45">
        <v>26.2</v>
      </c>
      <c r="AC24" s="45">
        <v>26.2</v>
      </c>
      <c r="AD24" s="45">
        <v>26.2</v>
      </c>
      <c r="AE24" s="45">
        <v>26.2</v>
      </c>
      <c r="AF24" s="45">
        <v>26.2</v>
      </c>
      <c r="AG24" s="49">
        <v>25</v>
      </c>
      <c r="AH24" s="47">
        <f t="shared" si="2"/>
        <v>26.2</v>
      </c>
      <c r="AI24" s="48">
        <f t="shared" si="3"/>
        <v>24.5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4</v>
      </c>
      <c r="J27" s="45">
        <v>12</v>
      </c>
      <c r="K27" s="45">
        <v>12</v>
      </c>
      <c r="L27" s="45">
        <v>12</v>
      </c>
      <c r="M27" s="45">
        <v>12</v>
      </c>
      <c r="N27" s="45">
        <v>17</v>
      </c>
      <c r="O27" s="45">
        <v>17</v>
      </c>
      <c r="P27" s="45">
        <v>17</v>
      </c>
      <c r="Q27" s="45">
        <v>17</v>
      </c>
      <c r="R27" s="45">
        <v>15</v>
      </c>
      <c r="S27" s="45">
        <v>15</v>
      </c>
      <c r="T27" s="45">
        <v>15</v>
      </c>
      <c r="U27" s="45">
        <v>19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25</v>
      </c>
      <c r="AB27" s="45">
        <v>25</v>
      </c>
      <c r="AC27" s="45">
        <v>19</v>
      </c>
      <c r="AD27" s="45">
        <v>8</v>
      </c>
      <c r="AE27" s="45">
        <v>3</v>
      </c>
      <c r="AF27" s="45">
        <v>3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25.2</v>
      </c>
      <c r="C28" s="45">
        <v>25.2</v>
      </c>
      <c r="D28" s="45">
        <v>25.2</v>
      </c>
      <c r="E28" s="45">
        <v>25.2</v>
      </c>
      <c r="F28" s="45">
        <v>25.2</v>
      </c>
      <c r="G28" s="45">
        <v>25.2</v>
      </c>
      <c r="H28" s="45">
        <v>25.2</v>
      </c>
      <c r="I28" s="45">
        <v>25.2</v>
      </c>
      <c r="J28" s="45">
        <v>25.2</v>
      </c>
      <c r="K28" s="45">
        <v>25.2</v>
      </c>
      <c r="L28" s="45">
        <v>25.2</v>
      </c>
      <c r="M28" s="45">
        <v>25.5</v>
      </c>
      <c r="N28" s="45">
        <v>25.5</v>
      </c>
      <c r="O28" s="45">
        <v>25.5</v>
      </c>
      <c r="P28" s="45">
        <v>25.5</v>
      </c>
      <c r="Q28" s="45">
        <v>25.5</v>
      </c>
      <c r="R28" s="45">
        <v>25.5</v>
      </c>
      <c r="S28" s="45">
        <v>25.5</v>
      </c>
      <c r="T28" s="45">
        <v>25.5</v>
      </c>
      <c r="U28" s="45">
        <v>25.5</v>
      </c>
      <c r="V28" s="45">
        <v>25.5</v>
      </c>
      <c r="W28" s="45">
        <v>25.5</v>
      </c>
      <c r="X28" s="45">
        <v>25.5</v>
      </c>
      <c r="Y28" s="45">
        <v>25.5</v>
      </c>
      <c r="Z28" s="45">
        <v>25.5</v>
      </c>
      <c r="AA28" s="45">
        <v>25.5</v>
      </c>
      <c r="AB28" s="45">
        <v>25.5</v>
      </c>
      <c r="AC28" s="45">
        <v>25.5</v>
      </c>
      <c r="AD28" s="45">
        <v>25.5</v>
      </c>
      <c r="AE28" s="45">
        <v>25.5</v>
      </c>
      <c r="AF28" s="45">
        <v>25.5</v>
      </c>
      <c r="AG28" s="49">
        <v>23.5</v>
      </c>
      <c r="AH28" s="47">
        <f t="shared" si="2"/>
        <v>25.5</v>
      </c>
      <c r="AI28" s="48">
        <f t="shared" si="3"/>
        <v>25.2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4</v>
      </c>
      <c r="J33" s="45">
        <v>4</v>
      </c>
      <c r="K33" s="45">
        <v>10</v>
      </c>
      <c r="L33" s="45">
        <v>20</v>
      </c>
      <c r="M33" s="45">
        <v>20</v>
      </c>
      <c r="N33" s="45">
        <v>10</v>
      </c>
      <c r="O33" s="45">
        <v>10</v>
      </c>
      <c r="P33" s="45">
        <v>10</v>
      </c>
      <c r="Q33" s="45">
        <v>7</v>
      </c>
      <c r="R33" s="45">
        <v>5</v>
      </c>
      <c r="S33" s="45">
        <v>5</v>
      </c>
      <c r="T33" s="45">
        <v>10</v>
      </c>
      <c r="U33" s="45">
        <v>10</v>
      </c>
      <c r="V33" s="45">
        <v>10</v>
      </c>
      <c r="W33" s="45">
        <v>10</v>
      </c>
      <c r="X33" s="45">
        <v>20</v>
      </c>
      <c r="Y33" s="45">
        <v>20</v>
      </c>
      <c r="Z33" s="45">
        <v>20</v>
      </c>
      <c r="AA33" s="45">
        <v>15</v>
      </c>
      <c r="AB33" s="45">
        <v>14</v>
      </c>
      <c r="AC33" s="45">
        <v>5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4</v>
      </c>
      <c r="J34" s="45">
        <v>4</v>
      </c>
      <c r="K34" s="45">
        <v>8</v>
      </c>
      <c r="L34" s="45">
        <v>15</v>
      </c>
      <c r="M34" s="45">
        <v>13</v>
      </c>
      <c r="N34" s="45">
        <v>13</v>
      </c>
      <c r="O34" s="45">
        <v>13</v>
      </c>
      <c r="P34" s="45">
        <v>13</v>
      </c>
      <c r="Q34" s="45">
        <v>5</v>
      </c>
      <c r="R34" s="45">
        <v>4</v>
      </c>
      <c r="S34" s="45">
        <v>4</v>
      </c>
      <c r="T34" s="45">
        <v>9</v>
      </c>
      <c r="U34" s="45">
        <v>9</v>
      </c>
      <c r="V34" s="45">
        <v>9</v>
      </c>
      <c r="W34" s="45">
        <v>9</v>
      </c>
      <c r="X34" s="45">
        <v>15</v>
      </c>
      <c r="Y34" s="45">
        <v>15</v>
      </c>
      <c r="Z34" s="45">
        <v>15</v>
      </c>
      <c r="AA34" s="45">
        <v>8</v>
      </c>
      <c r="AB34" s="45">
        <v>8</v>
      </c>
      <c r="AC34" s="45">
        <v>5</v>
      </c>
      <c r="AD34" s="45">
        <v>5</v>
      </c>
      <c r="AE34" s="45">
        <v>5</v>
      </c>
      <c r="AF34" s="45">
        <v>5</v>
      </c>
      <c r="AG34" s="49">
        <v>18</v>
      </c>
      <c r="AH34" s="47">
        <f t="shared" si="2"/>
        <v>15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13</v>
      </c>
      <c r="C35" s="45">
        <v>13</v>
      </c>
      <c r="D35" s="45">
        <v>13</v>
      </c>
      <c r="E35" s="45">
        <v>13</v>
      </c>
      <c r="F35" s="45">
        <v>13</v>
      </c>
      <c r="G35" s="45">
        <v>13</v>
      </c>
      <c r="H35" s="45">
        <v>13</v>
      </c>
      <c r="I35" s="45">
        <v>13</v>
      </c>
      <c r="J35" s="45">
        <v>13</v>
      </c>
      <c r="K35" s="45">
        <v>13</v>
      </c>
      <c r="L35" s="45">
        <v>13</v>
      </c>
      <c r="M35" s="45">
        <v>13</v>
      </c>
      <c r="N35" s="45">
        <v>13</v>
      </c>
      <c r="O35" s="45">
        <v>13</v>
      </c>
      <c r="P35" s="45">
        <v>13</v>
      </c>
      <c r="Q35" s="45">
        <v>13</v>
      </c>
      <c r="R35" s="45">
        <v>13</v>
      </c>
      <c r="S35" s="45">
        <v>13</v>
      </c>
      <c r="T35" s="45">
        <v>13</v>
      </c>
      <c r="U35" s="45">
        <v>13</v>
      </c>
      <c r="V35" s="45">
        <v>0</v>
      </c>
      <c r="W35" s="45">
        <v>13</v>
      </c>
      <c r="X35" s="45">
        <v>13</v>
      </c>
      <c r="Y35" s="45">
        <v>13</v>
      </c>
      <c r="Z35" s="45">
        <v>13</v>
      </c>
      <c r="AA35" s="45">
        <v>13</v>
      </c>
      <c r="AB35" s="45">
        <v>13</v>
      </c>
      <c r="AC35" s="45">
        <v>13</v>
      </c>
      <c r="AD35" s="45">
        <v>13</v>
      </c>
      <c r="AE35" s="45">
        <v>13</v>
      </c>
      <c r="AF35" s="45">
        <v>13</v>
      </c>
      <c r="AG35" s="49">
        <v>14.9</v>
      </c>
      <c r="AH35" s="47">
        <f t="shared" si="2"/>
        <v>13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2</v>
      </c>
      <c r="J39" s="45">
        <v>2</v>
      </c>
      <c r="K39" s="45">
        <v>6</v>
      </c>
      <c r="L39" s="45">
        <v>6</v>
      </c>
      <c r="M39" s="45">
        <v>6</v>
      </c>
      <c r="N39" s="45">
        <v>8.4</v>
      </c>
      <c r="O39" s="45">
        <v>8.4</v>
      </c>
      <c r="P39" s="45">
        <v>8.4</v>
      </c>
      <c r="Q39" s="45">
        <v>8.4</v>
      </c>
      <c r="R39" s="45">
        <v>7.2</v>
      </c>
      <c r="S39" s="45">
        <v>7.2</v>
      </c>
      <c r="T39" s="45">
        <v>7.2</v>
      </c>
      <c r="U39" s="45">
        <v>9</v>
      </c>
      <c r="V39" s="45">
        <v>12</v>
      </c>
      <c r="W39" s="45">
        <v>12</v>
      </c>
      <c r="X39" s="45">
        <v>12</v>
      </c>
      <c r="Y39" s="45">
        <v>9</v>
      </c>
      <c r="Z39" s="45">
        <v>9</v>
      </c>
      <c r="AA39" s="45">
        <v>9</v>
      </c>
      <c r="AB39" s="45">
        <v>9</v>
      </c>
      <c r="AC39" s="45">
        <v>9</v>
      </c>
      <c r="AD39" s="45">
        <v>9</v>
      </c>
      <c r="AE39" s="45">
        <v>2</v>
      </c>
      <c r="AF39" s="45">
        <v>2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12</v>
      </c>
      <c r="AF40" s="45">
        <v>12</v>
      </c>
      <c r="AG40" s="49">
        <v>12</v>
      </c>
      <c r="AH40" s="47">
        <f t="shared" si="2"/>
        <v>12</v>
      </c>
      <c r="AI40" s="48">
        <f t="shared" si="3"/>
        <v>12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11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8.5</v>
      </c>
      <c r="C45" s="45">
        <v>8.5</v>
      </c>
      <c r="D45" s="45">
        <v>8.5</v>
      </c>
      <c r="E45" s="45">
        <v>8.5</v>
      </c>
      <c r="F45" s="45">
        <v>8.5</v>
      </c>
      <c r="G45" s="45">
        <v>8.5</v>
      </c>
      <c r="H45" s="45">
        <v>8.5</v>
      </c>
      <c r="I45" s="45">
        <v>8.5</v>
      </c>
      <c r="J45" s="45">
        <v>8.5</v>
      </c>
      <c r="K45" s="45">
        <v>8.5</v>
      </c>
      <c r="L45" s="45">
        <v>8.5</v>
      </c>
      <c r="M45" s="45">
        <v>8.5</v>
      </c>
      <c r="N45" s="45">
        <v>8.5</v>
      </c>
      <c r="O45" s="45">
        <v>8.5</v>
      </c>
      <c r="P45" s="45">
        <v>8.5</v>
      </c>
      <c r="Q45" s="45">
        <v>8.5</v>
      </c>
      <c r="R45" s="45">
        <v>8.5</v>
      </c>
      <c r="S45" s="45">
        <v>8.5</v>
      </c>
      <c r="T45" s="45">
        <v>8.5</v>
      </c>
      <c r="U45" s="45">
        <v>8.5</v>
      </c>
      <c r="V45" s="45">
        <v>8.5</v>
      </c>
      <c r="W45" s="45">
        <v>8.5</v>
      </c>
      <c r="X45" s="45">
        <v>8.5</v>
      </c>
      <c r="Y45" s="45">
        <v>8.5</v>
      </c>
      <c r="Z45" s="45">
        <v>8.5</v>
      </c>
      <c r="AA45" s="45">
        <v>8.5</v>
      </c>
      <c r="AB45" s="45">
        <v>8.5</v>
      </c>
      <c r="AC45" s="45">
        <v>8.5</v>
      </c>
      <c r="AD45" s="45">
        <v>8.5</v>
      </c>
      <c r="AE45" s="45">
        <v>8.5</v>
      </c>
      <c r="AF45" s="45">
        <v>8.5</v>
      </c>
      <c r="AG45" s="54">
        <v>10</v>
      </c>
      <c r="AH45" s="47">
        <f t="shared" si="2"/>
        <v>8.5</v>
      </c>
      <c r="AI45" s="48">
        <f t="shared" si="3"/>
        <v>8.5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10</v>
      </c>
      <c r="N46" s="45">
        <v>10</v>
      </c>
      <c r="O46" s="45">
        <v>10</v>
      </c>
      <c r="P46" s="45">
        <v>10</v>
      </c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10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124</v>
      </c>
      <c r="C49" s="56">
        <v>124</v>
      </c>
      <c r="D49" s="56">
        <v>124</v>
      </c>
      <c r="E49" s="56">
        <v>124</v>
      </c>
      <c r="F49" s="56">
        <v>124</v>
      </c>
      <c r="G49" s="56">
        <v>124</v>
      </c>
      <c r="H49" s="56">
        <f>34.4+90.1</f>
        <v>124.5</v>
      </c>
      <c r="I49" s="56">
        <f>34.4+90.1</f>
        <v>124.5</v>
      </c>
      <c r="J49" s="58">
        <f>33.8+86.5</f>
        <v>120.3</v>
      </c>
      <c r="K49" s="58">
        <f>33.8+86.5</f>
        <v>120.3</v>
      </c>
      <c r="L49" s="58">
        <f>33.8+86.5</f>
        <v>120.3</v>
      </c>
      <c r="M49" s="58">
        <f>84.8+32.7</f>
        <v>117.5</v>
      </c>
      <c r="N49" s="58">
        <f>83.5+31.6</f>
        <v>115.1</v>
      </c>
      <c r="O49" s="58">
        <f>88.7+33.3</f>
        <v>122</v>
      </c>
      <c r="P49" s="58">
        <f>89+33.5</f>
        <v>122.5</v>
      </c>
      <c r="Q49" s="58">
        <v>120</v>
      </c>
      <c r="R49" s="58">
        <f>89.4+33.7</f>
        <v>123.10000000000001</v>
      </c>
      <c r="S49" s="58">
        <f>89.4+33.7</f>
        <v>123.10000000000001</v>
      </c>
      <c r="T49" s="58">
        <f>89.4+33.7</f>
        <v>123.10000000000001</v>
      </c>
      <c r="U49" s="58">
        <v>115.6</v>
      </c>
      <c r="V49" s="58">
        <v>111.6</v>
      </c>
      <c r="W49" s="58">
        <v>108</v>
      </c>
      <c r="X49" s="58">
        <v>108</v>
      </c>
      <c r="Y49" s="56">
        <v>117.5</v>
      </c>
      <c r="Z49" s="56">
        <v>116.5</v>
      </c>
      <c r="AA49" s="56">
        <v>116.5</v>
      </c>
      <c r="AB49" s="56">
        <v>116.5</v>
      </c>
      <c r="AC49" s="56">
        <v>116.5</v>
      </c>
      <c r="AD49" s="56">
        <v>116.5</v>
      </c>
      <c r="AE49" s="56">
        <v>116.5</v>
      </c>
      <c r="AF49" s="56">
        <v>116.5</v>
      </c>
      <c r="AG49" s="54">
        <v>240</v>
      </c>
      <c r="AH49" s="47">
        <f t="shared" si="2"/>
        <v>124.5</v>
      </c>
      <c r="AI49" s="48">
        <f t="shared" si="3"/>
        <v>108</v>
      </c>
      <c r="AK49" s="50"/>
    </row>
    <row r="50" spans="1:41" ht="15.75" thickBot="1" x14ac:dyDescent="0.3">
      <c r="A50" s="59" t="s">
        <v>58</v>
      </c>
      <c r="B50" s="60">
        <f t="shared" ref="B50:AF50" si="5">SUM(B11:B48)</f>
        <v>1060.3</v>
      </c>
      <c r="C50" s="60">
        <f t="shared" si="5"/>
        <v>1060.3</v>
      </c>
      <c r="D50" s="60">
        <f t="shared" si="5"/>
        <v>1054.3</v>
      </c>
      <c r="E50" s="60">
        <f t="shared" si="5"/>
        <v>1054.3</v>
      </c>
      <c r="F50" s="60">
        <f t="shared" si="5"/>
        <v>1054.3</v>
      </c>
      <c r="G50" s="60">
        <f t="shared" si="5"/>
        <v>1054.3</v>
      </c>
      <c r="H50" s="60">
        <f t="shared" si="5"/>
        <v>1054.3</v>
      </c>
      <c r="I50" s="60">
        <f t="shared" si="5"/>
        <v>1085.3</v>
      </c>
      <c r="J50" s="60">
        <f t="shared" si="5"/>
        <v>1127.3</v>
      </c>
      <c r="K50" s="60">
        <f t="shared" si="5"/>
        <v>1141.3</v>
      </c>
      <c r="L50" s="60">
        <f t="shared" si="5"/>
        <v>1168.3</v>
      </c>
      <c r="M50" s="60">
        <f t="shared" si="5"/>
        <v>1163.5999999999999</v>
      </c>
      <c r="N50" s="60">
        <f t="shared" si="5"/>
        <v>1177.9000000000001</v>
      </c>
      <c r="O50" s="60">
        <f t="shared" si="5"/>
        <v>1177.9000000000001</v>
      </c>
      <c r="P50" s="60">
        <f t="shared" si="5"/>
        <v>1171.9000000000001</v>
      </c>
      <c r="Q50" s="60">
        <f t="shared" si="5"/>
        <v>1157.9000000000001</v>
      </c>
      <c r="R50" s="60">
        <f t="shared" si="5"/>
        <v>1143</v>
      </c>
      <c r="S50" s="60">
        <f t="shared" si="5"/>
        <v>1143</v>
      </c>
      <c r="T50" s="60">
        <f t="shared" si="5"/>
        <v>1153</v>
      </c>
      <c r="U50" s="60">
        <f t="shared" si="5"/>
        <v>1170</v>
      </c>
      <c r="V50" s="60">
        <f t="shared" si="5"/>
        <v>1146</v>
      </c>
      <c r="W50" s="60">
        <f t="shared" si="5"/>
        <v>1186</v>
      </c>
      <c r="X50" s="60">
        <f t="shared" si="5"/>
        <v>1218.7</v>
      </c>
      <c r="Y50" s="60">
        <f t="shared" si="5"/>
        <v>1215.7</v>
      </c>
      <c r="Z50" s="60">
        <f t="shared" si="5"/>
        <v>1215.7</v>
      </c>
      <c r="AA50" s="60">
        <f t="shared" si="5"/>
        <v>1197.7</v>
      </c>
      <c r="AB50" s="60">
        <f t="shared" si="5"/>
        <v>1193.7</v>
      </c>
      <c r="AC50" s="60">
        <f t="shared" si="5"/>
        <v>1149.0999999999999</v>
      </c>
      <c r="AD50" s="60">
        <f t="shared" si="5"/>
        <v>1127.0999999999999</v>
      </c>
      <c r="AE50" s="60">
        <f t="shared" si="5"/>
        <v>1096.3</v>
      </c>
      <c r="AF50" s="60">
        <f t="shared" si="5"/>
        <v>1096.3</v>
      </c>
      <c r="AG50" s="61">
        <f>SUM(AG13:AG48)</f>
        <v>922.14</v>
      </c>
      <c r="AH50" s="47">
        <f t="shared" si="2"/>
        <v>1218.7</v>
      </c>
      <c r="AI50" s="48">
        <f t="shared" si="3"/>
        <v>1054.3</v>
      </c>
      <c r="AK50" s="50"/>
    </row>
    <row r="51" spans="1:41" x14ac:dyDescent="0.25">
      <c r="A51" s="62" t="s">
        <v>59</v>
      </c>
      <c r="B51" s="45">
        <v>360</v>
      </c>
      <c r="C51" s="45">
        <v>360</v>
      </c>
      <c r="D51" s="45">
        <v>360</v>
      </c>
      <c r="E51" s="45">
        <v>340</v>
      </c>
      <c r="F51" s="45">
        <v>340</v>
      </c>
      <c r="G51" s="45">
        <v>340</v>
      </c>
      <c r="H51" s="45">
        <v>340</v>
      </c>
      <c r="I51" s="45">
        <v>340</v>
      </c>
      <c r="J51" s="45">
        <v>340</v>
      </c>
      <c r="K51" s="45">
        <v>340</v>
      </c>
      <c r="L51" s="45">
        <v>340</v>
      </c>
      <c r="M51" s="45">
        <v>380</v>
      </c>
      <c r="N51" s="45">
        <v>380</v>
      </c>
      <c r="O51" s="45">
        <v>380</v>
      </c>
      <c r="P51" s="45">
        <v>380</v>
      </c>
      <c r="Q51" s="45">
        <v>380</v>
      </c>
      <c r="R51" s="45">
        <v>380</v>
      </c>
      <c r="S51" s="45">
        <v>390</v>
      </c>
      <c r="T51" s="45">
        <v>390</v>
      </c>
      <c r="U51" s="45">
        <v>370</v>
      </c>
      <c r="V51" s="45">
        <v>370</v>
      </c>
      <c r="W51" s="45">
        <v>456</v>
      </c>
      <c r="X51" s="45">
        <v>456</v>
      </c>
      <c r="Y51" s="45">
        <v>456</v>
      </c>
      <c r="Z51" s="45">
        <v>456</v>
      </c>
      <c r="AA51" s="45">
        <v>456</v>
      </c>
      <c r="AB51" s="45">
        <v>456</v>
      </c>
      <c r="AC51" s="45">
        <v>456</v>
      </c>
      <c r="AD51" s="45">
        <v>456</v>
      </c>
      <c r="AE51" s="45">
        <v>440</v>
      </c>
      <c r="AF51" s="45">
        <v>440</v>
      </c>
      <c r="AG51" s="51">
        <v>456</v>
      </c>
      <c r="AH51" s="47">
        <f t="shared" si="2"/>
        <v>456</v>
      </c>
      <c r="AI51" s="48">
        <f t="shared" si="3"/>
        <v>340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22.5</v>
      </c>
      <c r="C53" s="66">
        <v>22.5</v>
      </c>
      <c r="D53" s="66">
        <v>22.5</v>
      </c>
      <c r="E53" s="66">
        <v>22.5</v>
      </c>
      <c r="F53" s="66">
        <v>22.5</v>
      </c>
      <c r="G53" s="66">
        <v>22.5</v>
      </c>
      <c r="H53" s="66">
        <v>22.5</v>
      </c>
      <c r="I53" s="66">
        <v>22.5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22.4</v>
      </c>
      <c r="S53" s="66">
        <v>22.4</v>
      </c>
      <c r="T53" s="66">
        <v>22.4</v>
      </c>
      <c r="U53" s="66">
        <v>22.4</v>
      </c>
      <c r="V53" s="66">
        <v>22.4</v>
      </c>
      <c r="W53" s="66">
        <v>22.4</v>
      </c>
      <c r="X53" s="66">
        <v>22.4</v>
      </c>
      <c r="Y53" s="66">
        <v>22.4</v>
      </c>
      <c r="Z53" s="66">
        <v>22.4</v>
      </c>
      <c r="AA53" s="66">
        <v>22.4</v>
      </c>
      <c r="AB53" s="66">
        <v>22.4</v>
      </c>
      <c r="AC53" s="66">
        <v>22.4</v>
      </c>
      <c r="AD53" s="66">
        <v>22.4</v>
      </c>
      <c r="AE53" s="66">
        <v>22.4</v>
      </c>
      <c r="AF53" s="66">
        <v>22.4</v>
      </c>
      <c r="AG53" s="67">
        <v>22.1</v>
      </c>
      <c r="AH53" s="47">
        <f t="shared" si="2"/>
        <v>22.5</v>
      </c>
      <c r="AI53" s="48">
        <f t="shared" si="3"/>
        <v>22.4</v>
      </c>
      <c r="AK53" s="50"/>
    </row>
    <row r="54" spans="1:41" ht="15.75" thickBot="1" x14ac:dyDescent="0.3">
      <c r="A54" s="68" t="s">
        <v>62</v>
      </c>
      <c r="B54" s="60">
        <f t="shared" ref="B54:AG54" si="6">SUM(B51:B53)</f>
        <v>442.5</v>
      </c>
      <c r="C54" s="60">
        <f t="shared" si="6"/>
        <v>442.5</v>
      </c>
      <c r="D54" s="60">
        <f t="shared" si="6"/>
        <v>442.5</v>
      </c>
      <c r="E54" s="60">
        <f t="shared" si="6"/>
        <v>422.5</v>
      </c>
      <c r="F54" s="60">
        <f t="shared" si="6"/>
        <v>422.5</v>
      </c>
      <c r="G54" s="60">
        <f t="shared" si="6"/>
        <v>422.5</v>
      </c>
      <c r="H54" s="60">
        <f t="shared" si="6"/>
        <v>422.5</v>
      </c>
      <c r="I54" s="60">
        <f t="shared" si="6"/>
        <v>422.5</v>
      </c>
      <c r="J54" s="60">
        <f t="shared" si="6"/>
        <v>422.4</v>
      </c>
      <c r="K54" s="60">
        <f t="shared" si="6"/>
        <v>422.4</v>
      </c>
      <c r="L54" s="60">
        <f t="shared" si="6"/>
        <v>422.4</v>
      </c>
      <c r="M54" s="60">
        <f t="shared" si="6"/>
        <v>462.4</v>
      </c>
      <c r="N54" s="60">
        <f t="shared" si="6"/>
        <v>462.4</v>
      </c>
      <c r="O54" s="60">
        <f t="shared" si="6"/>
        <v>462.4</v>
      </c>
      <c r="P54" s="60">
        <f t="shared" si="6"/>
        <v>462.4</v>
      </c>
      <c r="Q54" s="60">
        <f t="shared" si="6"/>
        <v>462.4</v>
      </c>
      <c r="R54" s="60">
        <f t="shared" si="6"/>
        <v>462.4</v>
      </c>
      <c r="S54" s="60">
        <f t="shared" si="6"/>
        <v>472.4</v>
      </c>
      <c r="T54" s="60">
        <f t="shared" si="6"/>
        <v>472.4</v>
      </c>
      <c r="U54" s="60">
        <f t="shared" si="6"/>
        <v>452.4</v>
      </c>
      <c r="V54" s="60">
        <f t="shared" si="6"/>
        <v>452.4</v>
      </c>
      <c r="W54" s="60">
        <f t="shared" si="6"/>
        <v>538.4</v>
      </c>
      <c r="X54" s="60">
        <f t="shared" si="6"/>
        <v>538.4</v>
      </c>
      <c r="Y54" s="60">
        <f t="shared" si="6"/>
        <v>538.4</v>
      </c>
      <c r="Z54" s="60">
        <f t="shared" si="6"/>
        <v>538.4</v>
      </c>
      <c r="AA54" s="60">
        <f t="shared" si="6"/>
        <v>538.4</v>
      </c>
      <c r="AB54" s="60">
        <f t="shared" si="6"/>
        <v>538.4</v>
      </c>
      <c r="AC54" s="60">
        <f t="shared" si="6"/>
        <v>538.4</v>
      </c>
      <c r="AD54" s="60">
        <f t="shared" si="6"/>
        <v>538.4</v>
      </c>
      <c r="AE54" s="60">
        <f t="shared" si="6"/>
        <v>522.4</v>
      </c>
      <c r="AF54" s="60">
        <f t="shared" si="6"/>
        <v>522.4</v>
      </c>
      <c r="AG54" s="61">
        <f t="shared" si="6"/>
        <v>538.1</v>
      </c>
      <c r="AH54" s="47">
        <f t="shared" si="2"/>
        <v>538.4</v>
      </c>
      <c r="AI54" s="48">
        <f t="shared" si="3"/>
        <v>422.4</v>
      </c>
      <c r="AK54" s="50"/>
    </row>
    <row r="55" spans="1:41" x14ac:dyDescent="0.25">
      <c r="A55" s="44" t="s">
        <v>63</v>
      </c>
      <c r="B55" s="45">
        <v>131.6</v>
      </c>
      <c r="C55" s="45">
        <v>131.5</v>
      </c>
      <c r="D55" s="45">
        <v>136.80000000000001</v>
      </c>
      <c r="E55" s="45">
        <v>120.8</v>
      </c>
      <c r="F55" s="45">
        <v>120.8</v>
      </c>
      <c r="G55" s="45">
        <v>120.8</v>
      </c>
      <c r="H55" s="45">
        <v>145.5</v>
      </c>
      <c r="I55" s="45">
        <v>145.5</v>
      </c>
      <c r="J55" s="45">
        <v>145.5</v>
      </c>
      <c r="K55" s="45">
        <v>145.5</v>
      </c>
      <c r="L55" s="45">
        <v>145.5</v>
      </c>
      <c r="M55" s="45">
        <v>146.4</v>
      </c>
      <c r="N55" s="45">
        <v>146.4</v>
      </c>
      <c r="O55" s="45">
        <v>136.5</v>
      </c>
      <c r="P55" s="45">
        <v>136.5</v>
      </c>
      <c r="Q55" s="45">
        <v>136.5</v>
      </c>
      <c r="R55" s="45">
        <v>130.4</v>
      </c>
      <c r="S55" s="45">
        <v>130.4</v>
      </c>
      <c r="T55" s="45">
        <v>130.4</v>
      </c>
      <c r="U55" s="45">
        <v>130.4</v>
      </c>
      <c r="V55" s="45">
        <v>130.4</v>
      </c>
      <c r="W55" s="45">
        <v>138.5</v>
      </c>
      <c r="X55" s="45">
        <v>138.5</v>
      </c>
      <c r="Y55" s="45">
        <v>145.4</v>
      </c>
      <c r="Z55" s="45">
        <v>145.4</v>
      </c>
      <c r="AA55" s="45">
        <v>145.4</v>
      </c>
      <c r="AB55" s="45">
        <v>145.4</v>
      </c>
      <c r="AC55" s="45">
        <v>141.5</v>
      </c>
      <c r="AD55" s="45">
        <v>141.5</v>
      </c>
      <c r="AE55" s="45">
        <v>141.5</v>
      </c>
      <c r="AF55" s="45">
        <v>141.5</v>
      </c>
      <c r="AG55" s="51">
        <v>144</v>
      </c>
      <c r="AH55" s="47">
        <f t="shared" si="2"/>
        <v>146.4</v>
      </c>
      <c r="AI55" s="48">
        <f t="shared" si="3"/>
        <v>120.8</v>
      </c>
      <c r="AK55" s="50"/>
    </row>
    <row r="56" spans="1:41" x14ac:dyDescent="0.25">
      <c r="A56" s="53" t="s">
        <v>64</v>
      </c>
      <c r="B56" s="64">
        <v>59.8</v>
      </c>
      <c r="C56" s="64">
        <v>61.3</v>
      </c>
      <c r="D56" s="64">
        <v>59.5</v>
      </c>
      <c r="E56" s="64">
        <v>59.5</v>
      </c>
      <c r="F56" s="64">
        <v>59.5</v>
      </c>
      <c r="G56" s="64">
        <v>69.7</v>
      </c>
      <c r="H56" s="64">
        <v>70.2</v>
      </c>
      <c r="I56" s="64">
        <v>70.2</v>
      </c>
      <c r="J56" s="64">
        <v>70.2</v>
      </c>
      <c r="K56" s="64">
        <v>70.2</v>
      </c>
      <c r="L56" s="64">
        <v>70.2</v>
      </c>
      <c r="M56" s="64">
        <v>70.3</v>
      </c>
      <c r="N56" s="64">
        <v>69.5</v>
      </c>
      <c r="O56" s="64">
        <v>68.3</v>
      </c>
      <c r="P56" s="64">
        <v>70.2</v>
      </c>
      <c r="Q56" s="64">
        <v>70.2</v>
      </c>
      <c r="R56" s="64">
        <v>59.9</v>
      </c>
      <c r="S56" s="64">
        <v>59.9</v>
      </c>
      <c r="T56" s="64">
        <v>59.9</v>
      </c>
      <c r="U56" s="64">
        <v>59.9</v>
      </c>
      <c r="V56" s="64">
        <v>59.9</v>
      </c>
      <c r="W56" s="64">
        <v>64.5</v>
      </c>
      <c r="X56" s="64">
        <v>64.5</v>
      </c>
      <c r="Y56" s="45">
        <v>65.599999999999994</v>
      </c>
      <c r="Z56" s="45">
        <v>65.599999999999994</v>
      </c>
      <c r="AA56" s="45">
        <v>65.599999999999994</v>
      </c>
      <c r="AB56" s="45">
        <v>65.599999999999994</v>
      </c>
      <c r="AC56" s="45">
        <v>70.5</v>
      </c>
      <c r="AD56" s="45">
        <v>70.5</v>
      </c>
      <c r="AE56" s="45">
        <v>70.5</v>
      </c>
      <c r="AF56" s="45">
        <v>70.5</v>
      </c>
      <c r="AG56" s="54">
        <v>70</v>
      </c>
      <c r="AH56" s="47">
        <f t="shared" si="2"/>
        <v>70.5</v>
      </c>
      <c r="AI56" s="48">
        <f t="shared" si="3"/>
        <v>59.5</v>
      </c>
      <c r="AK56" s="50"/>
    </row>
    <row r="57" spans="1:41" x14ac:dyDescent="0.25">
      <c r="A57" s="53" t="s">
        <v>65</v>
      </c>
      <c r="B57" s="64">
        <v>65.900000000000006</v>
      </c>
      <c r="C57" s="64">
        <v>67</v>
      </c>
      <c r="D57" s="64">
        <v>67.400000000000006</v>
      </c>
      <c r="E57" s="64">
        <v>67.400000000000006</v>
      </c>
      <c r="F57" s="64">
        <v>67.400000000000006</v>
      </c>
      <c r="G57" s="64">
        <v>69.8</v>
      </c>
      <c r="H57" s="64">
        <v>69.400000000000006</v>
      </c>
      <c r="I57" s="64">
        <v>69.400000000000006</v>
      </c>
      <c r="J57" s="64">
        <v>69.400000000000006</v>
      </c>
      <c r="K57" s="64">
        <v>69.400000000000006</v>
      </c>
      <c r="L57" s="64">
        <v>69.400000000000006</v>
      </c>
      <c r="M57" s="64">
        <v>70.599999999999994</v>
      </c>
      <c r="N57" s="64">
        <v>69</v>
      </c>
      <c r="O57" s="64">
        <v>69.3</v>
      </c>
      <c r="P57" s="64">
        <v>61.4</v>
      </c>
      <c r="Q57" s="64">
        <v>61.4</v>
      </c>
      <c r="R57" s="64">
        <v>61</v>
      </c>
      <c r="S57" s="64">
        <v>70</v>
      </c>
      <c r="T57" s="64">
        <v>70</v>
      </c>
      <c r="U57" s="64">
        <v>70</v>
      </c>
      <c r="V57" s="64">
        <v>70</v>
      </c>
      <c r="W57" s="64">
        <v>70</v>
      </c>
      <c r="X57" s="64">
        <v>70</v>
      </c>
      <c r="Y57" s="45">
        <v>70</v>
      </c>
      <c r="Z57" s="45">
        <v>70</v>
      </c>
      <c r="AA57" s="45">
        <v>70</v>
      </c>
      <c r="AB57" s="45">
        <v>71</v>
      </c>
      <c r="AC57" s="45">
        <v>71</v>
      </c>
      <c r="AD57" s="45">
        <v>71</v>
      </c>
      <c r="AE57" s="45">
        <v>62</v>
      </c>
      <c r="AF57" s="45">
        <v>62</v>
      </c>
      <c r="AG57" s="54">
        <v>69</v>
      </c>
      <c r="AH57" s="47">
        <f t="shared" si="2"/>
        <v>71</v>
      </c>
      <c r="AI57" s="48">
        <f t="shared" si="3"/>
        <v>61</v>
      </c>
      <c r="AK57" s="50"/>
    </row>
    <row r="58" spans="1:41" x14ac:dyDescent="0.25">
      <c r="A58" s="53" t="s">
        <v>66</v>
      </c>
      <c r="B58" s="64">
        <v>60</v>
      </c>
      <c r="C58" s="64">
        <v>51.4</v>
      </c>
      <c r="D58" s="64">
        <v>50.6</v>
      </c>
      <c r="E58" s="64">
        <v>50.4</v>
      </c>
      <c r="F58" s="64">
        <v>50.4</v>
      </c>
      <c r="G58" s="64">
        <v>60</v>
      </c>
      <c r="H58" s="56">
        <v>61.4</v>
      </c>
      <c r="I58" s="56">
        <v>61.4</v>
      </c>
      <c r="J58" s="56">
        <v>61.4</v>
      </c>
      <c r="K58" s="56">
        <v>61.4</v>
      </c>
      <c r="L58" s="56">
        <v>61.4</v>
      </c>
      <c r="M58" s="64">
        <v>61.4</v>
      </c>
      <c r="N58" s="64">
        <v>61.4</v>
      </c>
      <c r="O58" s="64">
        <v>49.9</v>
      </c>
      <c r="P58" s="64">
        <v>60</v>
      </c>
      <c r="Q58" s="64">
        <v>60</v>
      </c>
      <c r="R58" s="64">
        <v>50.6</v>
      </c>
      <c r="S58" s="64">
        <v>55.7</v>
      </c>
      <c r="T58" s="64">
        <v>60.2</v>
      </c>
      <c r="U58" s="64">
        <v>60.2</v>
      </c>
      <c r="V58" s="64">
        <v>60.2</v>
      </c>
      <c r="W58" s="64">
        <v>60.2</v>
      </c>
      <c r="X58" s="64">
        <v>60.2</v>
      </c>
      <c r="Y58" s="45">
        <v>60.2</v>
      </c>
      <c r="Z58" s="45">
        <v>60.2</v>
      </c>
      <c r="AA58" s="45">
        <v>60.2</v>
      </c>
      <c r="AB58" s="45">
        <v>60.2</v>
      </c>
      <c r="AC58" s="45">
        <v>60.2</v>
      </c>
      <c r="AD58" s="45">
        <v>60.2</v>
      </c>
      <c r="AE58" s="45">
        <v>60.2</v>
      </c>
      <c r="AF58" s="45">
        <v>60.2</v>
      </c>
      <c r="AG58" s="54">
        <v>60</v>
      </c>
      <c r="AH58" s="47">
        <f t="shared" si="2"/>
        <v>61.4</v>
      </c>
      <c r="AI58" s="48">
        <f t="shared" si="3"/>
        <v>49.9</v>
      </c>
      <c r="AK58" s="50"/>
    </row>
    <row r="59" spans="1:41" x14ac:dyDescent="0.25">
      <c r="A59" s="53" t="s">
        <v>67</v>
      </c>
      <c r="B59" s="64">
        <v>13</v>
      </c>
      <c r="C59" s="64">
        <v>13</v>
      </c>
      <c r="D59" s="64">
        <v>13</v>
      </c>
      <c r="E59" s="64">
        <v>13</v>
      </c>
      <c r="F59" s="64">
        <v>13</v>
      </c>
      <c r="G59" s="64">
        <v>13</v>
      </c>
      <c r="H59" s="64">
        <v>13</v>
      </c>
      <c r="I59" s="64">
        <v>15</v>
      </c>
      <c r="J59" s="64">
        <v>15</v>
      </c>
      <c r="K59" s="64">
        <v>25</v>
      </c>
      <c r="L59" s="64">
        <v>25</v>
      </c>
      <c r="M59" s="64">
        <v>25</v>
      </c>
      <c r="N59" s="64">
        <v>25</v>
      </c>
      <c r="O59" s="64">
        <v>25</v>
      </c>
      <c r="P59" s="64">
        <v>25</v>
      </c>
      <c r="Q59" s="64">
        <v>15</v>
      </c>
      <c r="R59" s="64">
        <v>15</v>
      </c>
      <c r="S59" s="64">
        <v>15</v>
      </c>
      <c r="T59" s="64">
        <v>15</v>
      </c>
      <c r="U59" s="64">
        <v>15</v>
      </c>
      <c r="V59" s="64">
        <v>0</v>
      </c>
      <c r="W59" s="64">
        <v>15</v>
      </c>
      <c r="X59" s="64">
        <v>15</v>
      </c>
      <c r="Y59" s="45">
        <v>15</v>
      </c>
      <c r="Z59" s="45">
        <v>15</v>
      </c>
      <c r="AA59" s="45">
        <v>15</v>
      </c>
      <c r="AB59" s="45">
        <v>15</v>
      </c>
      <c r="AC59" s="45">
        <v>15</v>
      </c>
      <c r="AD59" s="45">
        <v>15</v>
      </c>
      <c r="AE59" s="45">
        <v>15</v>
      </c>
      <c r="AF59" s="45">
        <v>15</v>
      </c>
      <c r="AG59" s="54">
        <v>30</v>
      </c>
      <c r="AH59" s="47">
        <f t="shared" si="2"/>
        <v>25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1.4</v>
      </c>
      <c r="M60" s="64">
        <v>4.2</v>
      </c>
      <c r="N60" s="64">
        <v>11</v>
      </c>
      <c r="O60" s="64">
        <v>15.3</v>
      </c>
      <c r="P60" s="64">
        <v>15.3</v>
      </c>
      <c r="Q60" s="64">
        <v>15.5</v>
      </c>
      <c r="R60" s="64">
        <v>16</v>
      </c>
      <c r="S60" s="64">
        <v>13.2</v>
      </c>
      <c r="T60" s="64">
        <v>9.9</v>
      </c>
      <c r="U60" s="64">
        <v>2.4</v>
      </c>
      <c r="V60" s="64">
        <v>0.6</v>
      </c>
      <c r="W60" s="64">
        <v>0</v>
      </c>
      <c r="X60" s="6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16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14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2.5</v>
      </c>
      <c r="C62" s="64">
        <v>2.5</v>
      </c>
      <c r="D62" s="64">
        <v>2.5</v>
      </c>
      <c r="E62" s="64">
        <v>2.5</v>
      </c>
      <c r="F62" s="64">
        <v>2.5</v>
      </c>
      <c r="G62" s="64">
        <v>2.5</v>
      </c>
      <c r="H62" s="64">
        <v>2.5</v>
      </c>
      <c r="I62" s="64">
        <v>2.5</v>
      </c>
      <c r="J62" s="64">
        <v>2.5</v>
      </c>
      <c r="K62" s="64">
        <v>2.5</v>
      </c>
      <c r="L62" s="64">
        <v>2.5</v>
      </c>
      <c r="M62" s="64">
        <v>2.5</v>
      </c>
      <c r="N62" s="64">
        <v>2.5</v>
      </c>
      <c r="O62" s="64">
        <v>2.5</v>
      </c>
      <c r="P62" s="64">
        <v>2.5</v>
      </c>
      <c r="Q62" s="64">
        <v>2.5</v>
      </c>
      <c r="R62" s="64">
        <v>2.5</v>
      </c>
      <c r="S62" s="64">
        <v>2.5</v>
      </c>
      <c r="T62" s="64">
        <v>2.5</v>
      </c>
      <c r="U62" s="64">
        <v>2.5</v>
      </c>
      <c r="V62" s="64">
        <v>2.5</v>
      </c>
      <c r="W62" s="64">
        <v>2.5</v>
      </c>
      <c r="X62" s="64">
        <v>2.5</v>
      </c>
      <c r="Y62" s="64">
        <v>2.5</v>
      </c>
      <c r="Z62" s="64">
        <v>2.5</v>
      </c>
      <c r="AA62" s="64">
        <v>2.5</v>
      </c>
      <c r="AB62" s="64">
        <v>2.5</v>
      </c>
      <c r="AC62" s="64">
        <v>2.5</v>
      </c>
      <c r="AD62" s="64">
        <v>2.5</v>
      </c>
      <c r="AE62" s="64">
        <v>2.5</v>
      </c>
      <c r="AF62" s="64">
        <v>2.5</v>
      </c>
      <c r="AG62" s="54">
        <v>15</v>
      </c>
      <c r="AH62" s="47">
        <f t="shared" si="2"/>
        <v>2.5</v>
      </c>
      <c r="AI62" s="48">
        <f t="shared" si="3"/>
        <v>2.5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9.5</v>
      </c>
      <c r="C63" s="64">
        <v>9.5</v>
      </c>
      <c r="D63" s="64">
        <v>9.5</v>
      </c>
      <c r="E63" s="64">
        <v>9.5</v>
      </c>
      <c r="F63" s="64">
        <v>9.5</v>
      </c>
      <c r="G63" s="64">
        <v>9.5</v>
      </c>
      <c r="H63" s="64">
        <v>9.5</v>
      </c>
      <c r="I63" s="64">
        <v>9.5</v>
      </c>
      <c r="J63" s="64">
        <v>9.5</v>
      </c>
      <c r="K63" s="64">
        <v>9.5</v>
      </c>
      <c r="L63" s="64">
        <v>9.5</v>
      </c>
      <c r="M63" s="64">
        <v>9.5</v>
      </c>
      <c r="N63" s="64">
        <v>9.5</v>
      </c>
      <c r="O63" s="64">
        <v>9.5</v>
      </c>
      <c r="P63" s="64">
        <v>9.5</v>
      </c>
      <c r="Q63" s="64">
        <v>9.5</v>
      </c>
      <c r="R63" s="64">
        <v>9.6</v>
      </c>
      <c r="S63" s="64">
        <v>9.6</v>
      </c>
      <c r="T63" s="64">
        <v>9.6</v>
      </c>
      <c r="U63" s="64">
        <v>9.6</v>
      </c>
      <c r="V63" s="64">
        <v>9.6</v>
      </c>
      <c r="W63" s="64">
        <v>9.6</v>
      </c>
      <c r="X63" s="64">
        <v>9.6</v>
      </c>
      <c r="Y63" s="64">
        <v>9.6</v>
      </c>
      <c r="Z63" s="64">
        <v>9.6</v>
      </c>
      <c r="AA63" s="64">
        <v>9.6</v>
      </c>
      <c r="AB63" s="64">
        <v>9.6</v>
      </c>
      <c r="AC63" s="64">
        <v>9.6</v>
      </c>
      <c r="AD63" s="64">
        <v>9.6</v>
      </c>
      <c r="AE63" s="64">
        <v>9.6</v>
      </c>
      <c r="AF63" s="64">
        <v>9.6</v>
      </c>
      <c r="AG63" s="54">
        <v>14.1</v>
      </c>
      <c r="AH63" s="47">
        <f t="shared" si="2"/>
        <v>9.6</v>
      </c>
      <c r="AI63" s="48">
        <f t="shared" si="3"/>
        <v>9.5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10.5</v>
      </c>
      <c r="C64" s="64">
        <v>10.5</v>
      </c>
      <c r="D64" s="64">
        <v>10.5</v>
      </c>
      <c r="E64" s="64">
        <v>10.5</v>
      </c>
      <c r="F64" s="64">
        <v>10.5</v>
      </c>
      <c r="G64" s="64">
        <v>10.5</v>
      </c>
      <c r="H64" s="64">
        <v>14</v>
      </c>
      <c r="I64" s="64">
        <v>14</v>
      </c>
      <c r="J64" s="64">
        <v>14</v>
      </c>
      <c r="K64" s="64">
        <v>14</v>
      </c>
      <c r="L64" s="64">
        <v>14</v>
      </c>
      <c r="M64" s="64">
        <v>14.3</v>
      </c>
      <c r="N64" s="64">
        <v>14.2</v>
      </c>
      <c r="O64" s="64">
        <v>14.2</v>
      </c>
      <c r="P64" s="64">
        <v>14.2</v>
      </c>
      <c r="Q64" s="64">
        <v>14.2</v>
      </c>
      <c r="R64" s="64">
        <v>14.4</v>
      </c>
      <c r="S64" s="64">
        <v>14.4</v>
      </c>
      <c r="T64" s="64">
        <v>14.4</v>
      </c>
      <c r="U64" s="64">
        <v>14.4</v>
      </c>
      <c r="V64" s="64">
        <v>14.4</v>
      </c>
      <c r="W64" s="64">
        <v>14.4</v>
      </c>
      <c r="X64" s="64">
        <v>14.4</v>
      </c>
      <c r="Y64" s="64">
        <v>14.4</v>
      </c>
      <c r="Z64" s="64">
        <v>14.4</v>
      </c>
      <c r="AA64" s="64">
        <v>14.4</v>
      </c>
      <c r="AB64" s="64">
        <v>14.4</v>
      </c>
      <c r="AC64" s="64">
        <v>14.4</v>
      </c>
      <c r="AD64" s="64">
        <v>14.4</v>
      </c>
      <c r="AE64" s="64">
        <v>14.4</v>
      </c>
      <c r="AF64" s="64">
        <v>14.4</v>
      </c>
      <c r="AG64" s="54">
        <v>14</v>
      </c>
      <c r="AH64" s="47">
        <f t="shared" si="2"/>
        <v>14.4</v>
      </c>
      <c r="AI64" s="48">
        <f t="shared" si="3"/>
        <v>10.5</v>
      </c>
      <c r="AK64" s="50"/>
    </row>
    <row r="65" spans="1:40" x14ac:dyDescent="0.25">
      <c r="A65" s="53" t="s">
        <v>73</v>
      </c>
      <c r="B65" s="64">
        <v>8</v>
      </c>
      <c r="C65" s="64">
        <v>8</v>
      </c>
      <c r="D65" s="64">
        <v>8</v>
      </c>
      <c r="E65" s="64">
        <v>8</v>
      </c>
      <c r="F65" s="64">
        <v>8</v>
      </c>
      <c r="G65" s="64">
        <v>8</v>
      </c>
      <c r="H65" s="64">
        <v>8</v>
      </c>
      <c r="I65" s="64">
        <v>8</v>
      </c>
      <c r="J65" s="64">
        <v>8</v>
      </c>
      <c r="K65" s="64">
        <v>8</v>
      </c>
      <c r="L65" s="64">
        <v>8</v>
      </c>
      <c r="M65" s="64">
        <v>8</v>
      </c>
      <c r="N65" s="64">
        <v>8</v>
      </c>
      <c r="O65" s="64">
        <v>8</v>
      </c>
      <c r="P65" s="64">
        <v>8</v>
      </c>
      <c r="Q65" s="64">
        <v>8</v>
      </c>
      <c r="R65" s="64">
        <v>8</v>
      </c>
      <c r="S65" s="64">
        <v>8</v>
      </c>
      <c r="T65" s="64">
        <v>8</v>
      </c>
      <c r="U65" s="64">
        <v>8</v>
      </c>
      <c r="V65" s="64">
        <v>8</v>
      </c>
      <c r="W65" s="64">
        <v>8</v>
      </c>
      <c r="X65" s="64">
        <v>8</v>
      </c>
      <c r="Y65" s="64">
        <v>8</v>
      </c>
      <c r="Z65" s="64">
        <v>8</v>
      </c>
      <c r="AA65" s="64">
        <v>8</v>
      </c>
      <c r="AB65" s="64">
        <v>8</v>
      </c>
      <c r="AC65" s="64">
        <v>8</v>
      </c>
      <c r="AD65" s="64">
        <v>8</v>
      </c>
      <c r="AE65" s="64">
        <v>8</v>
      </c>
      <c r="AF65" s="64">
        <v>8</v>
      </c>
      <c r="AG65" s="54">
        <v>10.050000000000001</v>
      </c>
      <c r="AH65" s="47">
        <f t="shared" si="2"/>
        <v>8</v>
      </c>
      <c r="AI65" s="48">
        <f t="shared" si="3"/>
        <v>8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7">SUM(B55:B67)</f>
        <v>384.53999999999996</v>
      </c>
      <c r="C68" s="60">
        <f t="shared" si="7"/>
        <v>378.44</v>
      </c>
      <c r="D68" s="60">
        <f t="shared" si="7"/>
        <v>381.54000000000008</v>
      </c>
      <c r="E68" s="60">
        <f t="shared" si="7"/>
        <v>365.34000000000003</v>
      </c>
      <c r="F68" s="60">
        <f t="shared" si="7"/>
        <v>365.34000000000003</v>
      </c>
      <c r="G68" s="60">
        <f t="shared" si="7"/>
        <v>387.54</v>
      </c>
      <c r="H68" s="60">
        <f t="shared" si="7"/>
        <v>417.24</v>
      </c>
      <c r="I68" s="60">
        <f t="shared" si="7"/>
        <v>419.24</v>
      </c>
      <c r="J68" s="60">
        <f t="shared" si="7"/>
        <v>419.24</v>
      </c>
      <c r="K68" s="60">
        <f t="shared" si="7"/>
        <v>429.24</v>
      </c>
      <c r="L68" s="60">
        <f t="shared" si="7"/>
        <v>430.64</v>
      </c>
      <c r="M68" s="60">
        <f t="shared" si="7"/>
        <v>435.93999999999994</v>
      </c>
      <c r="N68" s="60">
        <f t="shared" si="7"/>
        <v>440.23999999999995</v>
      </c>
      <c r="O68" s="60">
        <f t="shared" si="7"/>
        <v>422.24</v>
      </c>
      <c r="P68" s="60">
        <f t="shared" si="7"/>
        <v>426.34</v>
      </c>
      <c r="Q68" s="60">
        <f t="shared" si="7"/>
        <v>416.53999999999996</v>
      </c>
      <c r="R68" s="60">
        <f t="shared" si="7"/>
        <v>391.14000000000004</v>
      </c>
      <c r="S68" s="60">
        <f t="shared" si="7"/>
        <v>402.44</v>
      </c>
      <c r="T68" s="60">
        <f t="shared" si="7"/>
        <v>403.64</v>
      </c>
      <c r="U68" s="60">
        <f t="shared" si="7"/>
        <v>396.14</v>
      </c>
      <c r="V68" s="60">
        <f t="shared" si="7"/>
        <v>379.34000000000003</v>
      </c>
      <c r="W68" s="60">
        <f t="shared" si="7"/>
        <v>406.44</v>
      </c>
      <c r="X68" s="60">
        <f t="shared" si="7"/>
        <v>406.44</v>
      </c>
      <c r="Y68" s="60">
        <f t="shared" si="7"/>
        <v>414.44</v>
      </c>
      <c r="Z68" s="60">
        <f t="shared" si="7"/>
        <v>414.44</v>
      </c>
      <c r="AA68" s="60">
        <f t="shared" si="7"/>
        <v>414.44</v>
      </c>
      <c r="AB68" s="60">
        <f t="shared" si="7"/>
        <v>415.44</v>
      </c>
      <c r="AC68" s="60">
        <f t="shared" si="7"/>
        <v>416.44</v>
      </c>
      <c r="AD68" s="60">
        <f t="shared" si="7"/>
        <v>416.44</v>
      </c>
      <c r="AE68" s="60">
        <f t="shared" si="7"/>
        <v>407.44</v>
      </c>
      <c r="AF68" s="60">
        <f t="shared" si="7"/>
        <v>407.44</v>
      </c>
      <c r="AG68" s="61">
        <f t="shared" si="7"/>
        <v>489.91</v>
      </c>
      <c r="AH68" s="47">
        <f t="shared" si="2"/>
        <v>440.23999999999995</v>
      </c>
      <c r="AI68" s="48">
        <f t="shared" si="3"/>
        <v>365.34000000000003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/>
      <c r="N69" s="45"/>
      <c r="O69" s="45">
        <v>10</v>
      </c>
      <c r="P69" s="45">
        <v>10.8</v>
      </c>
      <c r="Q69" s="45">
        <v>10.8</v>
      </c>
      <c r="R69" s="45">
        <v>10.8</v>
      </c>
      <c r="S69" s="45">
        <v>10.8</v>
      </c>
      <c r="T69" s="45">
        <v>0</v>
      </c>
      <c r="U69" s="45">
        <v>0</v>
      </c>
      <c r="V69" s="45">
        <v>0</v>
      </c>
      <c r="W69" s="45">
        <v>0</v>
      </c>
      <c r="X69" s="45">
        <v>43.6</v>
      </c>
      <c r="Y69" s="45">
        <v>49.7</v>
      </c>
      <c r="Z69" s="45">
        <v>12.7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49.7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0</v>
      </c>
      <c r="E70" s="64">
        <v>0</v>
      </c>
      <c r="F70" s="64">
        <v>0</v>
      </c>
      <c r="G70" s="64">
        <v>0</v>
      </c>
      <c r="H70" s="64">
        <v>0</v>
      </c>
      <c r="I70" s="64">
        <v>0</v>
      </c>
      <c r="J70" s="64">
        <v>0</v>
      </c>
      <c r="K70" s="64">
        <v>0</v>
      </c>
      <c r="L70" s="64">
        <v>0</v>
      </c>
      <c r="M70" s="64"/>
      <c r="N70" s="64"/>
      <c r="O70" s="64">
        <v>4.3</v>
      </c>
      <c r="P70" s="64">
        <v>4.4000000000000004</v>
      </c>
      <c r="Q70" s="64">
        <v>4.4000000000000004</v>
      </c>
      <c r="R70" s="64">
        <v>4.4000000000000004</v>
      </c>
      <c r="S70" s="64">
        <v>4.4000000000000004</v>
      </c>
      <c r="T70" s="64">
        <v>4.3</v>
      </c>
      <c r="U70" s="64">
        <v>0</v>
      </c>
      <c r="V70" s="64">
        <v>4</v>
      </c>
      <c r="W70" s="64">
        <v>0</v>
      </c>
      <c r="X70" s="64">
        <v>3.8</v>
      </c>
      <c r="Y70" s="64">
        <v>27.3</v>
      </c>
      <c r="Z70" s="64">
        <v>11.5</v>
      </c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27.3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0</v>
      </c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v>0</v>
      </c>
      <c r="K71" s="66">
        <v>0</v>
      </c>
      <c r="L71" s="66">
        <v>0</v>
      </c>
      <c r="M71" s="66"/>
      <c r="N71" s="66"/>
      <c r="O71" s="66">
        <v>1.6</v>
      </c>
      <c r="P71" s="66">
        <v>1.6</v>
      </c>
      <c r="Q71" s="66">
        <v>1.6</v>
      </c>
      <c r="R71" s="66">
        <v>1.6</v>
      </c>
      <c r="S71" s="66">
        <v>1.6</v>
      </c>
      <c r="T71" s="66">
        <v>1.6</v>
      </c>
      <c r="U71" s="66">
        <v>0</v>
      </c>
      <c r="V71" s="66">
        <v>1.5</v>
      </c>
      <c r="W71" s="66">
        <v>0</v>
      </c>
      <c r="X71" s="66">
        <v>1.4</v>
      </c>
      <c r="Y71" s="66">
        <v>10</v>
      </c>
      <c r="Z71" s="66">
        <v>4.2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10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8">M69+M70+M71</f>
        <v>0</v>
      </c>
      <c r="N72" s="60">
        <f t="shared" si="8"/>
        <v>0</v>
      </c>
      <c r="O72" s="60">
        <f t="shared" si="8"/>
        <v>15.9</v>
      </c>
      <c r="P72" s="60">
        <f t="shared" si="8"/>
        <v>16.8</v>
      </c>
      <c r="Q72" s="60">
        <f t="shared" si="8"/>
        <v>16.8</v>
      </c>
      <c r="R72" s="60">
        <f t="shared" si="8"/>
        <v>16.8</v>
      </c>
      <c r="S72" s="60">
        <f t="shared" si="8"/>
        <v>16.8</v>
      </c>
      <c r="T72" s="60">
        <f t="shared" si="8"/>
        <v>5.9</v>
      </c>
      <c r="U72" s="60">
        <f t="shared" si="8"/>
        <v>0</v>
      </c>
      <c r="V72" s="60">
        <f t="shared" si="8"/>
        <v>5.5</v>
      </c>
      <c r="W72" s="60">
        <f t="shared" si="8"/>
        <v>0</v>
      </c>
      <c r="X72" s="60">
        <f t="shared" si="8"/>
        <v>48.8</v>
      </c>
      <c r="Y72" s="60">
        <f t="shared" si="8"/>
        <v>87</v>
      </c>
      <c r="Z72" s="60">
        <f t="shared" si="8"/>
        <v>28.4</v>
      </c>
      <c r="AA72" s="60">
        <f t="shared" si="8"/>
        <v>0</v>
      </c>
      <c r="AB72" s="60">
        <f t="shared" si="8"/>
        <v>0</v>
      </c>
      <c r="AC72" s="60">
        <f t="shared" si="8"/>
        <v>0</v>
      </c>
      <c r="AD72" s="60">
        <f t="shared" si="8"/>
        <v>0</v>
      </c>
      <c r="AE72" s="60">
        <f t="shared" si="8"/>
        <v>0</v>
      </c>
      <c r="AF72" s="60">
        <f t="shared" si="8"/>
        <v>0</v>
      </c>
      <c r="AG72" s="61">
        <f>SUM(AG69:AG71)</f>
        <v>106</v>
      </c>
      <c r="AH72" s="47">
        <f t="shared" si="2"/>
        <v>87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-63.9</v>
      </c>
      <c r="C73" s="45">
        <v>-65.099999999999994</v>
      </c>
      <c r="D73" s="45">
        <v>-66.3</v>
      </c>
      <c r="E73" s="45">
        <v>-67.2</v>
      </c>
      <c r="F73" s="45">
        <v>-67.900000000000006</v>
      </c>
      <c r="G73" s="45">
        <v>-67</v>
      </c>
      <c r="H73" s="45">
        <v>-65.599999999999994</v>
      </c>
      <c r="I73" s="45">
        <v>-65.900000000000006</v>
      </c>
      <c r="J73" s="45">
        <v>-70</v>
      </c>
      <c r="K73" s="45">
        <v>-75.599999999999994</v>
      </c>
      <c r="L73" s="45">
        <v>-72.099999999999994</v>
      </c>
      <c r="M73" s="45">
        <v>-72</v>
      </c>
      <c r="N73" s="45">
        <v>-71</v>
      </c>
      <c r="O73" s="45">
        <v>-71.3</v>
      </c>
      <c r="P73" s="45">
        <v>-65</v>
      </c>
      <c r="Q73" s="45">
        <v>-65</v>
      </c>
      <c r="R73" s="45">
        <v>-60</v>
      </c>
      <c r="S73" s="45">
        <v>-60.5</v>
      </c>
      <c r="T73" s="45">
        <v>-60.1</v>
      </c>
      <c r="U73" s="45">
        <v>-59.2</v>
      </c>
      <c r="V73" s="45">
        <v>31.6</v>
      </c>
      <c r="W73" s="45">
        <v>-64.599999999999994</v>
      </c>
      <c r="X73" s="45">
        <v>-65</v>
      </c>
      <c r="Y73" s="45">
        <v>-20.399999999999999</v>
      </c>
      <c r="Z73" s="45">
        <v>-30.3</v>
      </c>
      <c r="AA73" s="45">
        <v>-30.6</v>
      </c>
      <c r="AB73" s="45">
        <v>-37.1</v>
      </c>
      <c r="AC73" s="45">
        <v>-36.1</v>
      </c>
      <c r="AD73" s="45">
        <v>-39.299999999999997</v>
      </c>
      <c r="AE73" s="45">
        <v>-43</v>
      </c>
      <c r="AF73" s="45">
        <v>-65</v>
      </c>
      <c r="AG73" s="51"/>
      <c r="AH73" s="47">
        <f t="shared" si="2"/>
        <v>31.6</v>
      </c>
      <c r="AI73" s="48">
        <f t="shared" si="3"/>
        <v>-75.599999999999994</v>
      </c>
      <c r="AK73" s="50"/>
    </row>
    <row r="74" spans="1:40" x14ac:dyDescent="0.25">
      <c r="A74" s="53" t="s">
        <v>82</v>
      </c>
      <c r="B74" s="64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-584.9</v>
      </c>
      <c r="C75" s="64">
        <v>-602</v>
      </c>
      <c r="D75" s="64">
        <v>-620.4</v>
      </c>
      <c r="E75" s="64">
        <v>-602</v>
      </c>
      <c r="F75" s="64">
        <v>-599</v>
      </c>
      <c r="G75" s="64">
        <v>-588</v>
      </c>
      <c r="H75" s="64">
        <v>-599.4</v>
      </c>
      <c r="I75" s="64">
        <v>-564</v>
      </c>
      <c r="J75" s="64">
        <v>-587</v>
      </c>
      <c r="K75" s="64">
        <v>-561.4</v>
      </c>
      <c r="L75" s="64">
        <v>-588.29999999999995</v>
      </c>
      <c r="M75" s="64">
        <v>-576.6</v>
      </c>
      <c r="N75" s="64">
        <v>-569.1</v>
      </c>
      <c r="O75" s="64">
        <v>-586</v>
      </c>
      <c r="P75" s="64">
        <v>-569.9</v>
      </c>
      <c r="Q75" s="64">
        <v>-580</v>
      </c>
      <c r="R75" s="64">
        <v>-562.5</v>
      </c>
      <c r="S75" s="64">
        <v>-580.20000000000005</v>
      </c>
      <c r="T75" s="64">
        <v>-591</v>
      </c>
      <c r="U75" s="64">
        <v>-549</v>
      </c>
      <c r="V75" s="64">
        <v>-560.29999999999995</v>
      </c>
      <c r="W75" s="64">
        <v>-509</v>
      </c>
      <c r="X75" s="64">
        <v>-515</v>
      </c>
      <c r="Y75" s="64">
        <v>-560.4</v>
      </c>
      <c r="Z75" s="64">
        <v>-545</v>
      </c>
      <c r="AA75" s="64">
        <v>-550.1</v>
      </c>
      <c r="AB75" s="64">
        <v>-590</v>
      </c>
      <c r="AC75" s="64">
        <v>-580</v>
      </c>
      <c r="AD75" s="64">
        <v>-583</v>
      </c>
      <c r="AE75" s="64">
        <v>-632</v>
      </c>
      <c r="AF75" s="64">
        <v>-520</v>
      </c>
      <c r="AG75" s="74"/>
      <c r="AH75" s="47">
        <f t="shared" si="2"/>
        <v>-509</v>
      </c>
      <c r="AI75" s="48">
        <f t="shared" si="3"/>
        <v>-632</v>
      </c>
      <c r="AK75" s="50"/>
    </row>
    <row r="76" spans="1:40" x14ac:dyDescent="0.25">
      <c r="A76" s="53" t="s">
        <v>84</v>
      </c>
      <c r="B76" s="64"/>
      <c r="C76" s="64"/>
      <c r="D76" s="64"/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75">
        <v>0</v>
      </c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9">MAX(B77:AF77)</f>
        <v>0</v>
      </c>
      <c r="AI77" s="48">
        <f t="shared" ref="AI77:AI120" si="10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>
        <v>0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9"/>
        <v>0</v>
      </c>
      <c r="AI78" s="48">
        <f t="shared" si="10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>
        <v>0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9"/>
        <v>0</v>
      </c>
      <c r="AI79" s="48">
        <f t="shared" si="10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>
        <v>0</v>
      </c>
      <c r="F80" s="76">
        <v>0</v>
      </c>
      <c r="G80" s="76">
        <v>0</v>
      </c>
      <c r="H80" s="76">
        <v>0</v>
      </c>
      <c r="I80" s="76">
        <v>0</v>
      </c>
      <c r="J80" s="76">
        <v>0</v>
      </c>
      <c r="K80" s="76">
        <v>0</v>
      </c>
      <c r="L80" s="76">
        <v>0</v>
      </c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9"/>
        <v>0</v>
      </c>
      <c r="AI80" s="48">
        <f t="shared" si="10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>
        <v>0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9"/>
        <v>0</v>
      </c>
      <c r="AI81" s="48">
        <f t="shared" si="10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>
        <v>0</v>
      </c>
      <c r="F82" s="76">
        <v>0</v>
      </c>
      <c r="G82" s="76">
        <v>0</v>
      </c>
      <c r="H82" s="76">
        <v>0</v>
      </c>
      <c r="I82" s="76">
        <v>0</v>
      </c>
      <c r="J82" s="76">
        <v>0</v>
      </c>
      <c r="K82" s="76">
        <v>0</v>
      </c>
      <c r="L82" s="76">
        <v>0</v>
      </c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9"/>
        <v>0</v>
      </c>
      <c r="AI82" s="48">
        <f t="shared" si="10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>
        <v>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9"/>
        <v>0</v>
      </c>
      <c r="AI83" s="48">
        <f t="shared" si="10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1">SUMIF(B73:B83,"&gt;0")</f>
        <v>0</v>
      </c>
      <c r="C84" s="60">
        <f t="shared" si="11"/>
        <v>0</v>
      </c>
      <c r="D84" s="60">
        <f t="shared" si="11"/>
        <v>0</v>
      </c>
      <c r="E84" s="60">
        <f t="shared" si="11"/>
        <v>0</v>
      </c>
      <c r="F84" s="60">
        <f t="shared" si="11"/>
        <v>0</v>
      </c>
      <c r="G84" s="60">
        <f t="shared" si="11"/>
        <v>0</v>
      </c>
      <c r="H84" s="60">
        <f t="shared" si="11"/>
        <v>0</v>
      </c>
      <c r="I84" s="60">
        <f t="shared" si="11"/>
        <v>0</v>
      </c>
      <c r="J84" s="60">
        <f t="shared" si="11"/>
        <v>0</v>
      </c>
      <c r="K84" s="60">
        <f t="shared" si="11"/>
        <v>0</v>
      </c>
      <c r="L84" s="60">
        <f t="shared" si="11"/>
        <v>0</v>
      </c>
      <c r="M84" s="60">
        <f t="shared" si="11"/>
        <v>0</v>
      </c>
      <c r="N84" s="60">
        <f t="shared" si="11"/>
        <v>0</v>
      </c>
      <c r="O84" s="60">
        <f t="shared" si="11"/>
        <v>0</v>
      </c>
      <c r="P84" s="60">
        <f t="shared" si="11"/>
        <v>0</v>
      </c>
      <c r="Q84" s="60">
        <f t="shared" si="11"/>
        <v>0</v>
      </c>
      <c r="R84" s="60">
        <f t="shared" si="11"/>
        <v>0</v>
      </c>
      <c r="S84" s="60">
        <f t="shared" si="11"/>
        <v>0</v>
      </c>
      <c r="T84" s="60">
        <f t="shared" si="11"/>
        <v>0</v>
      </c>
      <c r="U84" s="60">
        <f t="shared" si="11"/>
        <v>0</v>
      </c>
      <c r="V84" s="60">
        <f t="shared" si="11"/>
        <v>31.6</v>
      </c>
      <c r="W84" s="60">
        <f t="shared" si="11"/>
        <v>0</v>
      </c>
      <c r="X84" s="60">
        <f t="shared" si="11"/>
        <v>0</v>
      </c>
      <c r="Y84" s="60">
        <f t="shared" si="11"/>
        <v>0</v>
      </c>
      <c r="Z84" s="60">
        <f t="shared" si="11"/>
        <v>0</v>
      </c>
      <c r="AA84" s="60">
        <f t="shared" si="11"/>
        <v>0</v>
      </c>
      <c r="AB84" s="60">
        <f t="shared" si="11"/>
        <v>0</v>
      </c>
      <c r="AC84" s="60">
        <f t="shared" si="11"/>
        <v>0</v>
      </c>
      <c r="AD84" s="60">
        <f t="shared" si="11"/>
        <v>0</v>
      </c>
      <c r="AE84" s="60">
        <f t="shared" si="11"/>
        <v>0</v>
      </c>
      <c r="AF84" s="60">
        <f t="shared" si="11"/>
        <v>0</v>
      </c>
      <c r="AG84" s="87">
        <f>SUM(AG73:AG83)</f>
        <v>0</v>
      </c>
      <c r="AH84" s="47">
        <f t="shared" si="9"/>
        <v>31.6</v>
      </c>
      <c r="AI84" s="48">
        <f t="shared" si="10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9"/>
        <v>0</v>
      </c>
      <c r="AI85" s="48">
        <f t="shared" si="10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9"/>
        <v>0</v>
      </c>
      <c r="AI86" s="48">
        <f t="shared" si="10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9"/>
        <v>0</v>
      </c>
      <c r="AI87" s="48">
        <f t="shared" si="10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9"/>
        <v>0</v>
      </c>
      <c r="AI88" s="48">
        <f t="shared" si="10"/>
        <v>0</v>
      </c>
    </row>
    <row r="89" spans="1:40" ht="15.75" thickBot="1" x14ac:dyDescent="0.3">
      <c r="A89" s="73" t="s">
        <v>100</v>
      </c>
      <c r="B89" s="94">
        <f t="shared" ref="B89:AG89" si="12">B50+B54+B72+B68+B84+B88</f>
        <v>1887.34</v>
      </c>
      <c r="C89" s="94">
        <f t="shared" si="12"/>
        <v>1881.24</v>
      </c>
      <c r="D89" s="94">
        <f t="shared" si="12"/>
        <v>1878.3400000000001</v>
      </c>
      <c r="E89" s="94">
        <f t="shared" si="12"/>
        <v>1842.1399999999999</v>
      </c>
      <c r="F89" s="94">
        <f t="shared" si="12"/>
        <v>1842.1399999999999</v>
      </c>
      <c r="G89" s="94">
        <f t="shared" si="12"/>
        <v>1864.34</v>
      </c>
      <c r="H89" s="94">
        <f t="shared" si="12"/>
        <v>1894.04</v>
      </c>
      <c r="I89" s="94">
        <f t="shared" si="12"/>
        <v>1927.04</v>
      </c>
      <c r="J89" s="94">
        <f t="shared" si="12"/>
        <v>1968.9399999999998</v>
      </c>
      <c r="K89" s="94">
        <f t="shared" si="12"/>
        <v>1992.9399999999998</v>
      </c>
      <c r="L89" s="94">
        <f t="shared" si="12"/>
        <v>2021.3399999999997</v>
      </c>
      <c r="M89" s="94">
        <f t="shared" si="12"/>
        <v>2061.94</v>
      </c>
      <c r="N89" s="94">
        <f t="shared" si="12"/>
        <v>2080.54</v>
      </c>
      <c r="O89" s="94">
        <f t="shared" si="12"/>
        <v>2078.4400000000005</v>
      </c>
      <c r="P89" s="94">
        <f t="shared" si="12"/>
        <v>2077.44</v>
      </c>
      <c r="Q89" s="94">
        <f t="shared" si="12"/>
        <v>2053.6400000000003</v>
      </c>
      <c r="R89" s="94">
        <f t="shared" si="12"/>
        <v>2013.3400000000001</v>
      </c>
      <c r="S89" s="94">
        <f t="shared" si="12"/>
        <v>2034.64</v>
      </c>
      <c r="T89" s="94">
        <f t="shared" si="12"/>
        <v>2034.94</v>
      </c>
      <c r="U89" s="94">
        <f t="shared" si="12"/>
        <v>2018.54</v>
      </c>
      <c r="V89" s="94">
        <f t="shared" si="12"/>
        <v>2014.8400000000001</v>
      </c>
      <c r="W89" s="94">
        <f t="shared" si="12"/>
        <v>2130.84</v>
      </c>
      <c r="X89" s="94">
        <f t="shared" si="12"/>
        <v>2212.3399999999997</v>
      </c>
      <c r="Y89" s="94">
        <f t="shared" si="12"/>
        <v>2255.54</v>
      </c>
      <c r="Z89" s="94">
        <f t="shared" si="12"/>
        <v>2196.94</v>
      </c>
      <c r="AA89" s="94">
        <f t="shared" si="12"/>
        <v>2150.54</v>
      </c>
      <c r="AB89" s="94">
        <f t="shared" si="12"/>
        <v>2147.54</v>
      </c>
      <c r="AC89" s="94">
        <f t="shared" si="12"/>
        <v>2103.94</v>
      </c>
      <c r="AD89" s="94">
        <f t="shared" si="12"/>
        <v>2081.94</v>
      </c>
      <c r="AE89" s="94">
        <f t="shared" si="12"/>
        <v>2026.1399999999999</v>
      </c>
      <c r="AF89" s="94">
        <f t="shared" si="12"/>
        <v>2026.1399999999999</v>
      </c>
      <c r="AG89" s="61">
        <f t="shared" si="12"/>
        <v>2111.5500000000002</v>
      </c>
      <c r="AH89" s="47">
        <f t="shared" si="9"/>
        <v>2255.54</v>
      </c>
      <c r="AI89" s="48">
        <f t="shared" si="10"/>
        <v>1842.1399999999999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9"/>
        <v>0</v>
      </c>
      <c r="AI90" s="48">
        <f t="shared" si="10"/>
        <v>0</v>
      </c>
    </row>
    <row r="91" spans="1:40" ht="15.75" thickBot="1" x14ac:dyDescent="0.3">
      <c r="A91" s="73" t="s">
        <v>102</v>
      </c>
      <c r="B91" s="94">
        <f t="shared" ref="B91:AF91" si="13">B89+B90</f>
        <v>1887.34</v>
      </c>
      <c r="C91" s="94">
        <f t="shared" si="13"/>
        <v>1881.24</v>
      </c>
      <c r="D91" s="94">
        <f t="shared" si="13"/>
        <v>1878.3400000000001</v>
      </c>
      <c r="E91" s="94">
        <f t="shared" si="13"/>
        <v>1842.1399999999999</v>
      </c>
      <c r="F91" s="94">
        <f t="shared" si="13"/>
        <v>1842.1399999999999</v>
      </c>
      <c r="G91" s="94">
        <f t="shared" si="13"/>
        <v>1864.34</v>
      </c>
      <c r="H91" s="94">
        <f t="shared" si="13"/>
        <v>1894.04</v>
      </c>
      <c r="I91" s="94">
        <f t="shared" si="13"/>
        <v>1927.04</v>
      </c>
      <c r="J91" s="94">
        <f t="shared" si="13"/>
        <v>1968.9399999999998</v>
      </c>
      <c r="K91" s="94">
        <f t="shared" si="13"/>
        <v>1992.9399999999998</v>
      </c>
      <c r="L91" s="94">
        <f t="shared" si="13"/>
        <v>2021.3399999999997</v>
      </c>
      <c r="M91" s="94">
        <f t="shared" si="13"/>
        <v>2061.94</v>
      </c>
      <c r="N91" s="94">
        <f t="shared" si="13"/>
        <v>2080.54</v>
      </c>
      <c r="O91" s="94">
        <f t="shared" si="13"/>
        <v>2078.4400000000005</v>
      </c>
      <c r="P91" s="94">
        <f t="shared" si="13"/>
        <v>2077.44</v>
      </c>
      <c r="Q91" s="94">
        <f t="shared" si="13"/>
        <v>2053.6400000000003</v>
      </c>
      <c r="R91" s="94">
        <f t="shared" si="13"/>
        <v>2013.3400000000001</v>
      </c>
      <c r="S91" s="94">
        <f t="shared" si="13"/>
        <v>2034.64</v>
      </c>
      <c r="T91" s="94">
        <f t="shared" si="13"/>
        <v>2034.94</v>
      </c>
      <c r="U91" s="94">
        <f t="shared" si="13"/>
        <v>2018.54</v>
      </c>
      <c r="V91" s="94">
        <f t="shared" si="13"/>
        <v>2014.8400000000001</v>
      </c>
      <c r="W91" s="94">
        <f t="shared" si="13"/>
        <v>2130.84</v>
      </c>
      <c r="X91" s="94">
        <f t="shared" si="13"/>
        <v>2212.3399999999997</v>
      </c>
      <c r="Y91" s="94">
        <f t="shared" si="13"/>
        <v>2255.54</v>
      </c>
      <c r="Z91" s="94">
        <f t="shared" si="13"/>
        <v>2196.94</v>
      </c>
      <c r="AA91" s="94">
        <f t="shared" si="13"/>
        <v>2150.54</v>
      </c>
      <c r="AB91" s="94">
        <f t="shared" si="13"/>
        <v>2147.54</v>
      </c>
      <c r="AC91" s="94">
        <f t="shared" si="13"/>
        <v>2103.94</v>
      </c>
      <c r="AD91" s="94">
        <f t="shared" si="13"/>
        <v>2081.94</v>
      </c>
      <c r="AE91" s="94">
        <f t="shared" si="13"/>
        <v>2026.1399999999999</v>
      </c>
      <c r="AF91" s="94">
        <f t="shared" si="13"/>
        <v>2026.1399999999999</v>
      </c>
      <c r="AG91" s="87">
        <f>AG88+AG84+AG72+AG68+AG50+AG90</f>
        <v>1573.45</v>
      </c>
      <c r="AH91" s="47">
        <f t="shared" si="9"/>
        <v>2255.54</v>
      </c>
      <c r="AI91" s="48">
        <f t="shared" si="10"/>
        <v>1842.1399999999999</v>
      </c>
    </row>
    <row r="92" spans="1:40" ht="15.75" thickBot="1" x14ac:dyDescent="0.3">
      <c r="A92" s="73" t="s">
        <v>103</v>
      </c>
      <c r="B92" s="94">
        <f>B91-(-B99)</f>
        <v>1302.44</v>
      </c>
      <c r="C92" s="94">
        <f t="shared" ref="C92:AF92" si="14">C91-(-C99)</f>
        <v>1279.24</v>
      </c>
      <c r="D92" s="94">
        <f t="shared" si="14"/>
        <v>1257.94</v>
      </c>
      <c r="E92" s="94">
        <f t="shared" si="14"/>
        <v>1240.1399999999999</v>
      </c>
      <c r="F92" s="94">
        <f t="shared" si="14"/>
        <v>1243.1399999999999</v>
      </c>
      <c r="G92" s="94">
        <f t="shared" si="14"/>
        <v>1276.3399999999999</v>
      </c>
      <c r="H92" s="94">
        <f t="shared" si="14"/>
        <v>1294.6399999999999</v>
      </c>
      <c r="I92" s="94">
        <f t="shared" si="14"/>
        <v>1363.04</v>
      </c>
      <c r="J92" s="94">
        <f t="shared" si="14"/>
        <v>1381.9399999999998</v>
      </c>
      <c r="K92" s="94">
        <f t="shared" si="14"/>
        <v>1431.54</v>
      </c>
      <c r="L92" s="94">
        <f t="shared" si="14"/>
        <v>1433.0399999999997</v>
      </c>
      <c r="M92" s="94">
        <f t="shared" si="14"/>
        <v>1485.3400000000001</v>
      </c>
      <c r="N92" s="94">
        <f t="shared" si="14"/>
        <v>1511.44</v>
      </c>
      <c r="O92" s="94">
        <f t="shared" si="14"/>
        <v>1492.4400000000005</v>
      </c>
      <c r="P92" s="94">
        <f t="shared" si="14"/>
        <v>1507.54</v>
      </c>
      <c r="Q92" s="94">
        <f t="shared" si="14"/>
        <v>1473.6400000000003</v>
      </c>
      <c r="R92" s="94">
        <f t="shared" si="14"/>
        <v>1450.8400000000001</v>
      </c>
      <c r="S92" s="94">
        <f t="shared" si="14"/>
        <v>1454.44</v>
      </c>
      <c r="T92" s="94">
        <f t="shared" si="14"/>
        <v>1443.94</v>
      </c>
      <c r="U92" s="94">
        <f t="shared" si="14"/>
        <v>1469.54</v>
      </c>
      <c r="V92" s="94">
        <f t="shared" si="14"/>
        <v>1454.5400000000002</v>
      </c>
      <c r="W92" s="94">
        <f t="shared" si="14"/>
        <v>1621.8400000000001</v>
      </c>
      <c r="X92" s="94">
        <f t="shared" si="14"/>
        <v>1697.3399999999997</v>
      </c>
      <c r="Y92" s="94">
        <f t="shared" si="14"/>
        <v>1695.1399999999999</v>
      </c>
      <c r="Z92" s="94">
        <f t="shared" si="14"/>
        <v>1651.94</v>
      </c>
      <c r="AA92" s="94">
        <f t="shared" si="14"/>
        <v>1600.44</v>
      </c>
      <c r="AB92" s="94">
        <f t="shared" si="14"/>
        <v>1557.54</v>
      </c>
      <c r="AC92" s="94">
        <f t="shared" si="14"/>
        <v>1523.94</v>
      </c>
      <c r="AD92" s="94">
        <f t="shared" si="14"/>
        <v>1498.94</v>
      </c>
      <c r="AE92" s="94">
        <f t="shared" si="14"/>
        <v>1394.1399999999999</v>
      </c>
      <c r="AF92" s="94">
        <f t="shared" si="14"/>
        <v>1506.1399999999999</v>
      </c>
      <c r="AG92" s="87"/>
      <c r="AH92" s="47">
        <f t="shared" si="9"/>
        <v>1697.3399999999997</v>
      </c>
      <c r="AI92" s="48">
        <f t="shared" si="10"/>
        <v>1240.1399999999999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9"/>
        <v>0</v>
      </c>
      <c r="AI93" s="48">
        <f t="shared" si="10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9"/>
        <v>0</v>
      </c>
      <c r="AI94" s="48">
        <f t="shared" si="10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9"/>
        <v>0</v>
      </c>
      <c r="AI95" s="48">
        <f t="shared" si="10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9"/>
        <v>0</v>
      </c>
      <c r="AI96" s="48">
        <f t="shared" si="10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9"/>
        <v>0</v>
      </c>
      <c r="AI97" s="48">
        <f t="shared" si="10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9"/>
        <v>0</v>
      </c>
      <c r="AI98" s="48">
        <f t="shared" si="10"/>
        <v>0</v>
      </c>
    </row>
    <row r="99" spans="1:37" ht="15.75" thickBot="1" x14ac:dyDescent="0.3">
      <c r="A99" s="98" t="s">
        <v>107</v>
      </c>
      <c r="B99" s="60">
        <f>B75</f>
        <v>-584.9</v>
      </c>
      <c r="C99" s="60">
        <f t="shared" ref="C99:AF99" si="15">C75</f>
        <v>-602</v>
      </c>
      <c r="D99" s="60">
        <f t="shared" si="15"/>
        <v>-620.4</v>
      </c>
      <c r="E99" s="60">
        <f t="shared" si="15"/>
        <v>-602</v>
      </c>
      <c r="F99" s="60">
        <f t="shared" si="15"/>
        <v>-599</v>
      </c>
      <c r="G99" s="60">
        <f t="shared" si="15"/>
        <v>-588</v>
      </c>
      <c r="H99" s="60">
        <f t="shared" si="15"/>
        <v>-599.4</v>
      </c>
      <c r="I99" s="60">
        <f t="shared" si="15"/>
        <v>-564</v>
      </c>
      <c r="J99" s="60">
        <f t="shared" si="15"/>
        <v>-587</v>
      </c>
      <c r="K99" s="60">
        <f t="shared" si="15"/>
        <v>-561.4</v>
      </c>
      <c r="L99" s="60">
        <f t="shared" si="15"/>
        <v>-588.29999999999995</v>
      </c>
      <c r="M99" s="60">
        <f t="shared" si="15"/>
        <v>-576.6</v>
      </c>
      <c r="N99" s="60">
        <f t="shared" si="15"/>
        <v>-569.1</v>
      </c>
      <c r="O99" s="60">
        <f t="shared" si="15"/>
        <v>-586</v>
      </c>
      <c r="P99" s="60">
        <f t="shared" si="15"/>
        <v>-569.9</v>
      </c>
      <c r="Q99" s="60">
        <f t="shared" si="15"/>
        <v>-580</v>
      </c>
      <c r="R99" s="60">
        <f t="shared" si="15"/>
        <v>-562.5</v>
      </c>
      <c r="S99" s="60">
        <f t="shared" si="15"/>
        <v>-580.20000000000005</v>
      </c>
      <c r="T99" s="60">
        <f t="shared" si="15"/>
        <v>-591</v>
      </c>
      <c r="U99" s="60">
        <f t="shared" si="15"/>
        <v>-549</v>
      </c>
      <c r="V99" s="60">
        <f t="shared" si="15"/>
        <v>-560.29999999999995</v>
      </c>
      <c r="W99" s="60">
        <f t="shared" si="15"/>
        <v>-509</v>
      </c>
      <c r="X99" s="60">
        <f t="shared" si="15"/>
        <v>-515</v>
      </c>
      <c r="Y99" s="60">
        <f t="shared" si="15"/>
        <v>-560.4</v>
      </c>
      <c r="Z99" s="60">
        <f t="shared" si="15"/>
        <v>-545</v>
      </c>
      <c r="AA99" s="60">
        <f t="shared" si="15"/>
        <v>-550.1</v>
      </c>
      <c r="AB99" s="60">
        <f t="shared" si="15"/>
        <v>-590</v>
      </c>
      <c r="AC99" s="60">
        <f t="shared" si="15"/>
        <v>-580</v>
      </c>
      <c r="AD99" s="60">
        <f t="shared" si="15"/>
        <v>-583</v>
      </c>
      <c r="AE99" s="60">
        <f t="shared" si="15"/>
        <v>-632</v>
      </c>
      <c r="AF99" s="60">
        <f t="shared" si="15"/>
        <v>-520</v>
      </c>
      <c r="AG99" s="87"/>
      <c r="AH99" s="47">
        <f t="shared" si="9"/>
        <v>-509</v>
      </c>
      <c r="AI99" s="48">
        <f t="shared" si="10"/>
        <v>-632</v>
      </c>
      <c r="AK99" s="50"/>
    </row>
    <row r="100" spans="1:37" ht="15.75" thickBot="1" x14ac:dyDescent="0.3">
      <c r="A100" s="73" t="s">
        <v>108</v>
      </c>
      <c r="B100" s="60">
        <f t="shared" ref="B100:AF100" si="16">B84-B99</f>
        <v>584.9</v>
      </c>
      <c r="C100" s="60">
        <f t="shared" si="16"/>
        <v>602</v>
      </c>
      <c r="D100" s="60">
        <f t="shared" si="16"/>
        <v>620.4</v>
      </c>
      <c r="E100" s="60">
        <f t="shared" si="16"/>
        <v>602</v>
      </c>
      <c r="F100" s="60">
        <f t="shared" si="16"/>
        <v>599</v>
      </c>
      <c r="G100" s="60">
        <f t="shared" si="16"/>
        <v>588</v>
      </c>
      <c r="H100" s="60">
        <f t="shared" si="16"/>
        <v>599.4</v>
      </c>
      <c r="I100" s="60">
        <f t="shared" si="16"/>
        <v>564</v>
      </c>
      <c r="J100" s="60">
        <f t="shared" si="16"/>
        <v>587</v>
      </c>
      <c r="K100" s="60">
        <f t="shared" si="16"/>
        <v>561.4</v>
      </c>
      <c r="L100" s="60">
        <f t="shared" si="16"/>
        <v>588.29999999999995</v>
      </c>
      <c r="M100" s="60">
        <f t="shared" si="16"/>
        <v>576.6</v>
      </c>
      <c r="N100" s="60">
        <f t="shared" si="16"/>
        <v>569.1</v>
      </c>
      <c r="O100" s="60">
        <f t="shared" si="16"/>
        <v>586</v>
      </c>
      <c r="P100" s="60">
        <f t="shared" si="16"/>
        <v>569.9</v>
      </c>
      <c r="Q100" s="60">
        <f t="shared" si="16"/>
        <v>580</v>
      </c>
      <c r="R100" s="60">
        <f t="shared" si="16"/>
        <v>562.5</v>
      </c>
      <c r="S100" s="60">
        <f t="shared" si="16"/>
        <v>580.20000000000005</v>
      </c>
      <c r="T100" s="60">
        <f t="shared" si="16"/>
        <v>591</v>
      </c>
      <c r="U100" s="60">
        <f t="shared" si="16"/>
        <v>549</v>
      </c>
      <c r="V100" s="60">
        <f t="shared" si="16"/>
        <v>591.9</v>
      </c>
      <c r="W100" s="60">
        <f t="shared" si="16"/>
        <v>509</v>
      </c>
      <c r="X100" s="60">
        <f t="shared" si="16"/>
        <v>515</v>
      </c>
      <c r="Y100" s="60">
        <f t="shared" si="16"/>
        <v>560.4</v>
      </c>
      <c r="Z100" s="60">
        <f t="shared" si="16"/>
        <v>545</v>
      </c>
      <c r="AA100" s="60">
        <f t="shared" si="16"/>
        <v>550.1</v>
      </c>
      <c r="AB100" s="60">
        <f t="shared" si="16"/>
        <v>590</v>
      </c>
      <c r="AC100" s="60">
        <f t="shared" si="16"/>
        <v>580</v>
      </c>
      <c r="AD100" s="60">
        <f t="shared" si="16"/>
        <v>583</v>
      </c>
      <c r="AE100" s="60">
        <f t="shared" si="16"/>
        <v>632</v>
      </c>
      <c r="AF100" s="60">
        <f t="shared" si="16"/>
        <v>520</v>
      </c>
      <c r="AG100" s="87"/>
      <c r="AH100" s="47">
        <f t="shared" si="9"/>
        <v>632</v>
      </c>
      <c r="AI100" s="48">
        <f t="shared" si="10"/>
        <v>509</v>
      </c>
    </row>
    <row r="101" spans="1:37" x14ac:dyDescent="0.25">
      <c r="A101" s="99" t="s">
        <v>109</v>
      </c>
      <c r="B101" s="100">
        <v>49.99</v>
      </c>
      <c r="C101" s="100">
        <v>49.817999999999998</v>
      </c>
      <c r="D101" s="100">
        <v>49.99</v>
      </c>
      <c r="E101" s="100">
        <v>50</v>
      </c>
      <c r="F101" s="100">
        <v>50.024000000000001</v>
      </c>
      <c r="G101" s="100">
        <v>50.04</v>
      </c>
      <c r="H101" s="100">
        <v>49.970999999999997</v>
      </c>
      <c r="I101" s="100">
        <v>50.088999999999999</v>
      </c>
      <c r="J101" s="100">
        <v>50.088999999999999</v>
      </c>
      <c r="K101" s="100">
        <v>50.052999999999997</v>
      </c>
      <c r="L101" s="100">
        <v>49.908999999999999</v>
      </c>
      <c r="M101" s="100">
        <v>49.74</v>
      </c>
      <c r="N101" s="100">
        <v>50.003999999999998</v>
      </c>
      <c r="O101" s="100">
        <v>50.024999999999999</v>
      </c>
      <c r="P101" s="100">
        <v>50.05</v>
      </c>
      <c r="Q101" s="100">
        <v>50.02</v>
      </c>
      <c r="R101" s="100">
        <v>49.978999999999999</v>
      </c>
      <c r="S101" s="100">
        <v>50.027000000000001</v>
      </c>
      <c r="T101" s="100">
        <v>50.036999999999999</v>
      </c>
      <c r="U101" s="100">
        <v>50.048999999999999</v>
      </c>
      <c r="V101" s="100">
        <v>49.896000000000001</v>
      </c>
      <c r="W101" s="100">
        <v>50</v>
      </c>
      <c r="X101" s="100">
        <v>49.954000000000001</v>
      </c>
      <c r="Y101" s="100">
        <v>50.030999999999999</v>
      </c>
      <c r="Z101" s="100">
        <v>50.045000000000002</v>
      </c>
      <c r="AA101" s="100">
        <v>50.076000000000001</v>
      </c>
      <c r="AB101" s="100">
        <v>50.076000000000001</v>
      </c>
      <c r="AC101" s="100">
        <v>49.96</v>
      </c>
      <c r="AD101" s="100">
        <v>49.96</v>
      </c>
      <c r="AE101" s="100">
        <v>50.000999999999998</v>
      </c>
      <c r="AF101" s="100">
        <v>49.902999999999999</v>
      </c>
      <c r="AG101" s="101"/>
      <c r="AH101" s="47">
        <f t="shared" si="9"/>
        <v>50.088999999999999</v>
      </c>
      <c r="AI101" s="48">
        <f t="shared" si="10"/>
        <v>49.74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9"/>
        <v>0</v>
      </c>
      <c r="AI102" s="48">
        <f t="shared" si="10"/>
        <v>0</v>
      </c>
    </row>
    <row r="103" spans="1:37" x14ac:dyDescent="0.25">
      <c r="A103" s="102" t="s">
        <v>111</v>
      </c>
      <c r="B103" s="64">
        <v>130</v>
      </c>
      <c r="C103" s="64">
        <v>130</v>
      </c>
      <c r="D103" s="64">
        <v>130.80000000000001</v>
      </c>
      <c r="E103" s="64">
        <v>131.30000000000001</v>
      </c>
      <c r="F103" s="64">
        <v>131.30000000000001</v>
      </c>
      <c r="G103" s="64">
        <v>130.19999999999999</v>
      </c>
      <c r="H103" s="64">
        <v>129.1</v>
      </c>
      <c r="I103" s="64">
        <v>128.6</v>
      </c>
      <c r="J103" s="64">
        <v>129.1</v>
      </c>
      <c r="K103" s="64">
        <v>127.5</v>
      </c>
      <c r="L103" s="64">
        <v>125.5</v>
      </c>
      <c r="M103" s="64">
        <v>124.8</v>
      </c>
      <c r="N103" s="64">
        <v>124.9</v>
      </c>
      <c r="O103" s="64">
        <v>126.5</v>
      </c>
      <c r="P103" s="64">
        <v>125.9</v>
      </c>
      <c r="Q103" s="64">
        <v>126.5</v>
      </c>
      <c r="R103" s="64">
        <v>127.6</v>
      </c>
      <c r="S103" s="64">
        <v>128.1</v>
      </c>
      <c r="T103" s="64">
        <v>127.8</v>
      </c>
      <c r="U103" s="64">
        <v>127.8</v>
      </c>
      <c r="V103" s="64">
        <v>127.5</v>
      </c>
      <c r="W103" s="64">
        <v>127.5</v>
      </c>
      <c r="X103" s="64">
        <v>128.5</v>
      </c>
      <c r="Y103" s="64">
        <v>128.5</v>
      </c>
      <c r="Z103" s="64">
        <v>128.80000000000001</v>
      </c>
      <c r="AA103" s="64">
        <v>129.69999999999999</v>
      </c>
      <c r="AB103" s="64">
        <v>129.69999999999999</v>
      </c>
      <c r="AC103" s="64">
        <v>128</v>
      </c>
      <c r="AD103" s="64">
        <v>128</v>
      </c>
      <c r="AE103" s="64">
        <v>130</v>
      </c>
      <c r="AF103" s="64">
        <v>129.80000000000001</v>
      </c>
      <c r="AG103" s="103"/>
      <c r="AH103" s="47">
        <f t="shared" si="9"/>
        <v>131.30000000000001</v>
      </c>
      <c r="AI103" s="48">
        <f t="shared" si="10"/>
        <v>124.8</v>
      </c>
    </row>
    <row r="104" spans="1:37" x14ac:dyDescent="0.25">
      <c r="A104" s="102" t="s">
        <v>112</v>
      </c>
      <c r="B104" s="64">
        <v>130</v>
      </c>
      <c r="C104" s="64">
        <v>130</v>
      </c>
      <c r="D104" s="64">
        <v>131</v>
      </c>
      <c r="E104" s="64">
        <v>131.4</v>
      </c>
      <c r="F104" s="64">
        <v>131.4</v>
      </c>
      <c r="G104" s="64">
        <v>131.19999999999999</v>
      </c>
      <c r="H104" s="64">
        <v>130.6</v>
      </c>
      <c r="I104" s="64">
        <v>130.19999999999999</v>
      </c>
      <c r="J104" s="64">
        <v>130.69999999999999</v>
      </c>
      <c r="K104" s="64">
        <v>128</v>
      </c>
      <c r="L104" s="64">
        <v>128.1</v>
      </c>
      <c r="M104" s="64">
        <v>127.7</v>
      </c>
      <c r="N104" s="64">
        <v>127.4</v>
      </c>
      <c r="O104" s="64">
        <v>127.8</v>
      </c>
      <c r="P104" s="64">
        <v>126.9</v>
      </c>
      <c r="Q104" s="64">
        <v>128</v>
      </c>
      <c r="R104" s="64">
        <v>128.30000000000001</v>
      </c>
      <c r="S104" s="64">
        <v>126.6</v>
      </c>
      <c r="T104" s="64">
        <v>128.19999999999999</v>
      </c>
      <c r="U104" s="64">
        <v>128.69999999999999</v>
      </c>
      <c r="V104" s="64">
        <v>129.69999999999999</v>
      </c>
      <c r="W104" s="64">
        <v>129.69999999999999</v>
      </c>
      <c r="X104" s="64">
        <v>127.7</v>
      </c>
      <c r="Y104" s="64">
        <v>129</v>
      </c>
      <c r="Z104" s="64">
        <v>130.1</v>
      </c>
      <c r="AA104" s="64">
        <v>130.1</v>
      </c>
      <c r="AB104" s="64">
        <v>130.1</v>
      </c>
      <c r="AC104" s="64">
        <v>129.80000000000001</v>
      </c>
      <c r="AD104" s="64">
        <v>129.80000000000001</v>
      </c>
      <c r="AE104" s="64">
        <v>127.8</v>
      </c>
      <c r="AF104" s="64">
        <v>128.5</v>
      </c>
      <c r="AG104" s="103"/>
      <c r="AH104" s="47">
        <f t="shared" si="9"/>
        <v>131.4</v>
      </c>
      <c r="AI104" s="48">
        <f t="shared" si="10"/>
        <v>126.6</v>
      </c>
    </row>
    <row r="105" spans="1:37" x14ac:dyDescent="0.25">
      <c r="A105" s="104" t="s">
        <v>113</v>
      </c>
      <c r="B105" s="64">
        <v>132.9</v>
      </c>
      <c r="C105" s="64">
        <v>132.9</v>
      </c>
      <c r="D105" s="64">
        <v>133</v>
      </c>
      <c r="E105" s="64">
        <v>134.1</v>
      </c>
      <c r="F105" s="64">
        <v>134.1</v>
      </c>
      <c r="G105" s="64">
        <v>133.80000000000001</v>
      </c>
      <c r="H105" s="64">
        <v>132.6</v>
      </c>
      <c r="I105" s="64">
        <v>132.69999999999999</v>
      </c>
      <c r="J105" s="64">
        <v>133.6</v>
      </c>
      <c r="K105" s="64">
        <v>133.30000000000001</v>
      </c>
      <c r="L105" s="64">
        <v>131.4</v>
      </c>
      <c r="M105" s="64">
        <v>131.1</v>
      </c>
      <c r="N105" s="64">
        <v>131.6</v>
      </c>
      <c r="O105" s="64">
        <v>131.4</v>
      </c>
      <c r="P105" s="64">
        <v>131.5</v>
      </c>
      <c r="Q105" s="64">
        <v>131.5</v>
      </c>
      <c r="R105" s="64">
        <v>131.69999999999999</v>
      </c>
      <c r="S105" s="64">
        <v>129.6</v>
      </c>
      <c r="T105" s="64">
        <v>133.30000000000001</v>
      </c>
      <c r="U105" s="64">
        <v>131</v>
      </c>
      <c r="V105" s="64">
        <v>132.19999999999999</v>
      </c>
      <c r="W105" s="64">
        <v>132.19999999999999</v>
      </c>
      <c r="X105" s="64">
        <v>130.80000000000001</v>
      </c>
      <c r="Y105" s="64">
        <v>131.6</v>
      </c>
      <c r="Z105" s="64">
        <v>132.5</v>
      </c>
      <c r="AA105" s="64">
        <v>132.9</v>
      </c>
      <c r="AB105" s="64">
        <v>132.9</v>
      </c>
      <c r="AC105" s="64">
        <v>133.4</v>
      </c>
      <c r="AD105" s="64">
        <v>133.4</v>
      </c>
      <c r="AE105" s="64">
        <v>129.4</v>
      </c>
      <c r="AF105" s="64">
        <v>131.9</v>
      </c>
      <c r="AG105" s="103"/>
      <c r="AH105" s="47">
        <f t="shared" si="9"/>
        <v>134.1</v>
      </c>
      <c r="AI105" s="48">
        <f t="shared" si="10"/>
        <v>129.4</v>
      </c>
    </row>
    <row r="106" spans="1:37" x14ac:dyDescent="0.25">
      <c r="A106" s="104" t="s">
        <v>114</v>
      </c>
      <c r="B106" s="105">
        <v>131.69999999999999</v>
      </c>
      <c r="C106" s="105">
        <v>131.69999999999999</v>
      </c>
      <c r="D106" s="105">
        <v>133</v>
      </c>
      <c r="E106" s="105">
        <v>132.4</v>
      </c>
      <c r="F106" s="105">
        <v>132.4</v>
      </c>
      <c r="G106" s="105">
        <v>133.1</v>
      </c>
      <c r="H106" s="105">
        <v>132.1</v>
      </c>
      <c r="I106" s="105">
        <v>130.69999999999999</v>
      </c>
      <c r="J106" s="105">
        <v>132.80000000000001</v>
      </c>
      <c r="K106" s="105">
        <v>133.19999999999999</v>
      </c>
      <c r="L106" s="105">
        <v>131.4</v>
      </c>
      <c r="M106" s="105">
        <v>131.30000000000001</v>
      </c>
      <c r="N106" s="105">
        <v>131.4</v>
      </c>
      <c r="O106" s="105">
        <v>134</v>
      </c>
      <c r="P106" s="105">
        <v>133.80000000000001</v>
      </c>
      <c r="Q106" s="105">
        <v>133.80000000000001</v>
      </c>
      <c r="R106" s="105">
        <v>135.4</v>
      </c>
      <c r="S106" s="105">
        <v>134.1</v>
      </c>
      <c r="T106" s="105">
        <v>133.30000000000001</v>
      </c>
      <c r="U106" s="105">
        <v>133.1</v>
      </c>
      <c r="V106" s="105">
        <v>133.1</v>
      </c>
      <c r="W106" s="105">
        <v>133.1</v>
      </c>
      <c r="X106" s="105">
        <v>135</v>
      </c>
      <c r="Y106" s="105">
        <v>130.19999999999999</v>
      </c>
      <c r="Z106" s="105">
        <v>137.1</v>
      </c>
      <c r="AA106" s="105">
        <v>135.5</v>
      </c>
      <c r="AB106" s="105">
        <v>134.1</v>
      </c>
      <c r="AC106" s="105">
        <v>131</v>
      </c>
      <c r="AD106" s="105">
        <v>131</v>
      </c>
      <c r="AE106" s="105">
        <v>134.1</v>
      </c>
      <c r="AF106" s="105">
        <v>130.69999999999999</v>
      </c>
      <c r="AG106" s="106"/>
      <c r="AH106" s="47">
        <f t="shared" si="9"/>
        <v>137.1</v>
      </c>
      <c r="AI106" s="48">
        <f t="shared" si="10"/>
        <v>130.19999999999999</v>
      </c>
    </row>
    <row r="107" spans="1:37" x14ac:dyDescent="0.25">
      <c r="A107" s="102" t="s">
        <v>115</v>
      </c>
      <c r="B107" s="64">
        <v>133</v>
      </c>
      <c r="C107" s="64">
        <v>133</v>
      </c>
      <c r="D107" s="64">
        <v>135</v>
      </c>
      <c r="E107" s="64">
        <v>133.1</v>
      </c>
      <c r="F107" s="64">
        <v>133.1</v>
      </c>
      <c r="G107" s="64">
        <v>135.4</v>
      </c>
      <c r="H107" s="64">
        <v>132.6</v>
      </c>
      <c r="I107" s="64">
        <v>129.30000000000001</v>
      </c>
      <c r="J107" s="64">
        <v>134.30000000000001</v>
      </c>
      <c r="K107" s="64">
        <v>133.9</v>
      </c>
      <c r="L107" s="64">
        <v>133.1</v>
      </c>
      <c r="M107" s="64">
        <v>133</v>
      </c>
      <c r="N107" s="64">
        <v>132.1</v>
      </c>
      <c r="O107" s="64">
        <v>133</v>
      </c>
      <c r="P107" s="64">
        <v>135</v>
      </c>
      <c r="Q107" s="64">
        <v>133</v>
      </c>
      <c r="R107" s="64">
        <v>137.5</v>
      </c>
      <c r="S107" s="64">
        <v>132.30000000000001</v>
      </c>
      <c r="T107" s="64">
        <v>130.6</v>
      </c>
      <c r="U107" s="64">
        <v>131.1</v>
      </c>
      <c r="V107" s="64">
        <v>131.9</v>
      </c>
      <c r="W107" s="64">
        <v>131.9</v>
      </c>
      <c r="X107" s="64">
        <v>136.30000000000001</v>
      </c>
      <c r="Y107" s="64">
        <v>130.1</v>
      </c>
      <c r="Z107" s="64">
        <v>139.19999999999999</v>
      </c>
      <c r="AA107" s="64">
        <v>138</v>
      </c>
      <c r="AB107" s="64">
        <v>138</v>
      </c>
      <c r="AC107" s="64">
        <v>138</v>
      </c>
      <c r="AD107" s="64">
        <v>138</v>
      </c>
      <c r="AE107" s="64">
        <v>131</v>
      </c>
      <c r="AF107" s="64">
        <v>128.19999999999999</v>
      </c>
      <c r="AG107" s="103"/>
      <c r="AH107" s="47">
        <f t="shared" si="9"/>
        <v>139.19999999999999</v>
      </c>
      <c r="AI107" s="48">
        <f t="shared" si="10"/>
        <v>128.19999999999999</v>
      </c>
    </row>
    <row r="108" spans="1:37" ht="15.75" thickBot="1" x14ac:dyDescent="0.3">
      <c r="A108" s="102" t="s">
        <v>116</v>
      </c>
      <c r="B108" s="91">
        <v>64.8</v>
      </c>
      <c r="C108" s="91">
        <v>64.8</v>
      </c>
      <c r="D108" s="91">
        <v>65.3</v>
      </c>
      <c r="E108" s="91">
        <v>65.7</v>
      </c>
      <c r="F108" s="91">
        <v>65.7</v>
      </c>
      <c r="G108" s="91">
        <v>64.900000000000006</v>
      </c>
      <c r="H108" s="91">
        <v>64.400000000000006</v>
      </c>
      <c r="I108" s="91">
        <v>64.5</v>
      </c>
      <c r="J108" s="91">
        <v>64.7</v>
      </c>
      <c r="K108" s="91">
        <v>63.8</v>
      </c>
      <c r="L108" s="91">
        <v>62.8</v>
      </c>
      <c r="M108" s="91">
        <v>62.4</v>
      </c>
      <c r="N108" s="91">
        <v>62.2</v>
      </c>
      <c r="O108" s="91">
        <v>62.7</v>
      </c>
      <c r="P108" s="91">
        <v>62.9</v>
      </c>
      <c r="Q108" s="91">
        <v>63</v>
      </c>
      <c r="R108" s="91">
        <v>63.9</v>
      </c>
      <c r="S108" s="91">
        <v>64.2</v>
      </c>
      <c r="T108" s="91">
        <v>63.7</v>
      </c>
      <c r="U108" s="91">
        <v>63.8</v>
      </c>
      <c r="V108" s="91">
        <v>63.7</v>
      </c>
      <c r="W108" s="91">
        <v>63.7</v>
      </c>
      <c r="X108" s="91">
        <v>64.400000000000006</v>
      </c>
      <c r="Y108" s="91">
        <v>64.400000000000006</v>
      </c>
      <c r="Z108" s="91">
        <v>64.900000000000006</v>
      </c>
      <c r="AA108" s="91">
        <v>65.2</v>
      </c>
      <c r="AB108" s="91">
        <v>65.2</v>
      </c>
      <c r="AC108" s="91">
        <v>65.2</v>
      </c>
      <c r="AD108" s="91">
        <v>65.2</v>
      </c>
      <c r="AE108" s="91">
        <v>65.099999999999994</v>
      </c>
      <c r="AF108" s="91">
        <v>64.599999999999994</v>
      </c>
      <c r="AG108" s="107"/>
      <c r="AH108" s="47">
        <f t="shared" si="9"/>
        <v>65.7</v>
      </c>
      <c r="AI108" s="48">
        <f t="shared" si="10"/>
        <v>62.2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9"/>
        <v>0</v>
      </c>
      <c r="AI109" s="48">
        <f t="shared" si="10"/>
        <v>0</v>
      </c>
    </row>
    <row r="110" spans="1:37" ht="15.75" thickBot="1" x14ac:dyDescent="0.3">
      <c r="A110" s="109" t="s">
        <v>118</v>
      </c>
      <c r="B110" s="110">
        <f t="shared" ref="B110:O110" si="17">SUM(B20,B26,B29:B30,B58,B60:B61,B63,B65,B111:B115,B138,B144,B150,B159,B161,B173,B180,B183:B184,B191,B193,B195,B199:B201,B203:B205,B210,B216:B217,B219:B221,B229,B234)</f>
        <v>28.6</v>
      </c>
      <c r="C110" s="110">
        <f t="shared" si="17"/>
        <v>24.039999999999988</v>
      </c>
      <c r="D110" s="110">
        <f t="shared" si="17"/>
        <v>19.140000000000011</v>
      </c>
      <c r="E110" s="110">
        <f t="shared" si="17"/>
        <v>19.639999999999997</v>
      </c>
      <c r="F110" s="110">
        <f t="shared" si="17"/>
        <v>19.639999999999997</v>
      </c>
      <c r="G110" s="110">
        <f t="shared" si="17"/>
        <v>49.739999999999995</v>
      </c>
      <c r="H110" s="110">
        <f t="shared" si="17"/>
        <v>76.84</v>
      </c>
      <c r="I110" s="110">
        <f t="shared" si="17"/>
        <v>92.44</v>
      </c>
      <c r="J110" s="110">
        <f t="shared" si="17"/>
        <v>121.63999999999999</v>
      </c>
      <c r="K110" s="110">
        <f t="shared" si="17"/>
        <v>148.04000000000002</v>
      </c>
      <c r="L110" s="110">
        <f t="shared" si="17"/>
        <v>183.33999999999997</v>
      </c>
      <c r="M110" s="110">
        <f t="shared" si="17"/>
        <v>191.33999999999997</v>
      </c>
      <c r="N110" s="110">
        <f t="shared" si="17"/>
        <v>199.04000000000002</v>
      </c>
      <c r="O110" s="110">
        <f t="shared" si="17"/>
        <v>193.04000000000002</v>
      </c>
      <c r="P110" s="110">
        <v>42</v>
      </c>
      <c r="Q110" s="110">
        <f t="shared" ref="Q110:AF110" si="18">SUM(Q20,Q26,Q29:Q30,Q58,Q60:Q61,Q63,Q65,Q111:Q115,Q138,Q144,Q150,Q159,Q161,Q173,Q180,Q183:Q184,Q191,Q193,Q195,Q199:Q201,Q203:Q205,Q210,Q216:Q217,Q219:Q221,Q229,Q234)</f>
        <v>166.5</v>
      </c>
      <c r="R110" s="110">
        <f t="shared" si="18"/>
        <v>165.3</v>
      </c>
      <c r="S110" s="110">
        <f t="shared" si="18"/>
        <v>156.59999999999997</v>
      </c>
      <c r="T110" s="110">
        <f t="shared" si="18"/>
        <v>156.50000000000003</v>
      </c>
      <c r="U110" s="110">
        <f t="shared" si="18"/>
        <v>169.8</v>
      </c>
      <c r="V110" s="110">
        <f t="shared" si="18"/>
        <v>175.7</v>
      </c>
      <c r="W110" s="110">
        <f t="shared" si="18"/>
        <v>175.10000000000002</v>
      </c>
      <c r="X110" s="110">
        <f t="shared" si="18"/>
        <v>261.89999999999998</v>
      </c>
      <c r="Y110" s="110">
        <f t="shared" si="18"/>
        <v>268.10000000000002</v>
      </c>
      <c r="Z110" s="110">
        <f t="shared" si="18"/>
        <v>239.90000000000003</v>
      </c>
      <c r="AA110" s="110">
        <f t="shared" si="18"/>
        <v>215.6</v>
      </c>
      <c r="AB110" s="110">
        <f t="shared" si="18"/>
        <v>182.40000000000003</v>
      </c>
      <c r="AC110" s="110">
        <f t="shared" si="18"/>
        <v>145.99999999999997</v>
      </c>
      <c r="AD110" s="110"/>
      <c r="AE110" s="110">
        <f t="shared" si="18"/>
        <v>86.199999999999989</v>
      </c>
      <c r="AF110" s="110">
        <f t="shared" si="18"/>
        <v>39.699999999999989</v>
      </c>
      <c r="AG110" s="111"/>
      <c r="AH110" s="47">
        <f t="shared" si="9"/>
        <v>268.10000000000002</v>
      </c>
      <c r="AI110" s="48">
        <f t="shared" si="10"/>
        <v>19.140000000000011</v>
      </c>
    </row>
    <row r="111" spans="1:37" x14ac:dyDescent="0.25">
      <c r="A111" s="99" t="s">
        <v>119</v>
      </c>
      <c r="B111" s="112">
        <v>20.100000000000001</v>
      </c>
      <c r="C111" s="112">
        <v>23</v>
      </c>
      <c r="D111" s="112">
        <v>22.4</v>
      </c>
      <c r="E111" s="112">
        <v>18.5</v>
      </c>
      <c r="F111" s="112">
        <v>18.5</v>
      </c>
      <c r="G111" s="112">
        <v>30.7</v>
      </c>
      <c r="H111" s="112">
        <v>37.4</v>
      </c>
      <c r="I111" s="112">
        <v>39.1</v>
      </c>
      <c r="J111" s="112">
        <v>46.8</v>
      </c>
      <c r="K111" s="112">
        <v>50.6</v>
      </c>
      <c r="L111" s="112">
        <v>55.7</v>
      </c>
      <c r="M111" s="112">
        <v>57.9</v>
      </c>
      <c r="N111" s="112">
        <v>63.4</v>
      </c>
      <c r="O111" s="112">
        <v>70.3</v>
      </c>
      <c r="P111" s="112">
        <v>61.2</v>
      </c>
      <c r="Q111" s="112">
        <v>55.5</v>
      </c>
      <c r="R111" s="112">
        <v>54.4</v>
      </c>
      <c r="S111" s="112">
        <v>59.1</v>
      </c>
      <c r="T111" s="112">
        <v>54.3</v>
      </c>
      <c r="U111" s="112">
        <v>60.6</v>
      </c>
      <c r="V111" s="112">
        <v>63.6</v>
      </c>
      <c r="W111" s="112">
        <v>63.6</v>
      </c>
      <c r="X111" s="112">
        <v>52.8</v>
      </c>
      <c r="Y111" s="112">
        <v>52.2</v>
      </c>
      <c r="Z111" s="112">
        <v>62.1</v>
      </c>
      <c r="AA111" s="112">
        <v>64.099999999999994</v>
      </c>
      <c r="AB111" s="112">
        <v>62.2</v>
      </c>
      <c r="AC111" s="112">
        <v>48.2</v>
      </c>
      <c r="AD111" s="112">
        <v>48.2</v>
      </c>
      <c r="AE111" s="112">
        <v>35.700000000000003</v>
      </c>
      <c r="AF111" s="112">
        <v>26</v>
      </c>
      <c r="AG111" s="113">
        <v>75</v>
      </c>
      <c r="AH111" s="47">
        <f t="shared" si="9"/>
        <v>70.3</v>
      </c>
      <c r="AI111" s="48">
        <f t="shared" si="10"/>
        <v>18.5</v>
      </c>
    </row>
    <row r="112" spans="1:37" x14ac:dyDescent="0.25">
      <c r="A112" s="102" t="s">
        <v>120</v>
      </c>
      <c r="B112" s="114">
        <v>27.9</v>
      </c>
      <c r="C112" s="114">
        <v>31.6</v>
      </c>
      <c r="D112" s="114">
        <v>31.3</v>
      </c>
      <c r="E112" s="114">
        <v>26.2</v>
      </c>
      <c r="F112" s="114">
        <v>26.2</v>
      </c>
      <c r="G112" s="114">
        <v>37.799999999999997</v>
      </c>
      <c r="H112" s="114">
        <v>49</v>
      </c>
      <c r="I112" s="114">
        <v>49</v>
      </c>
      <c r="J112" s="114">
        <v>62.5</v>
      </c>
      <c r="K112" s="114">
        <v>66.599999999999994</v>
      </c>
      <c r="L112" s="114">
        <v>74.400000000000006</v>
      </c>
      <c r="M112" s="114">
        <v>76.2</v>
      </c>
      <c r="N112" s="114">
        <v>84.3</v>
      </c>
      <c r="O112" s="114">
        <v>96.8</v>
      </c>
      <c r="P112" s="114">
        <v>82.1</v>
      </c>
      <c r="Q112" s="114">
        <v>75.3</v>
      </c>
      <c r="R112" s="114">
        <v>73</v>
      </c>
      <c r="S112" s="114">
        <v>80</v>
      </c>
      <c r="T112" s="114">
        <v>73.099999999999994</v>
      </c>
      <c r="U112" s="114">
        <v>82.6</v>
      </c>
      <c r="V112" s="114">
        <v>88.3</v>
      </c>
      <c r="W112" s="114">
        <v>88.3</v>
      </c>
      <c r="X112" s="114">
        <v>71.2</v>
      </c>
      <c r="Y112" s="114">
        <v>69.8</v>
      </c>
      <c r="Z112" s="114">
        <v>85.1</v>
      </c>
      <c r="AA112" s="114">
        <v>88.5</v>
      </c>
      <c r="AB112" s="114">
        <v>68.2</v>
      </c>
      <c r="AC112" s="114">
        <v>64.400000000000006</v>
      </c>
      <c r="AD112" s="114">
        <v>64.400000000000006</v>
      </c>
      <c r="AE112" s="114">
        <v>47.5</v>
      </c>
      <c r="AF112" s="114">
        <v>38.200000000000003</v>
      </c>
      <c r="AG112" s="113">
        <v>240</v>
      </c>
      <c r="AH112" s="47">
        <f t="shared" si="9"/>
        <v>96.8</v>
      </c>
      <c r="AI112" s="48">
        <f t="shared" si="10"/>
        <v>26.2</v>
      </c>
    </row>
    <row r="113" spans="1:37" x14ac:dyDescent="0.25">
      <c r="A113" s="102" t="s">
        <v>121</v>
      </c>
      <c r="B113" s="114">
        <v>-155</v>
      </c>
      <c r="C113" s="114">
        <v>-155.80000000000001</v>
      </c>
      <c r="D113" s="114">
        <v>-158</v>
      </c>
      <c r="E113" s="114">
        <v>-150</v>
      </c>
      <c r="F113" s="114">
        <v>-150</v>
      </c>
      <c r="G113" s="114">
        <v>-155.5</v>
      </c>
      <c r="H113" s="114">
        <v>-151</v>
      </c>
      <c r="I113" s="114">
        <v>-142</v>
      </c>
      <c r="J113" s="114">
        <v>-145</v>
      </c>
      <c r="K113" s="114">
        <v>-125</v>
      </c>
      <c r="L113" s="114">
        <v>-118</v>
      </c>
      <c r="M113" s="114">
        <f>-53-56</f>
        <v>-109</v>
      </c>
      <c r="N113" s="114">
        <f>-60-63.8</f>
        <v>-123.8</v>
      </c>
      <c r="O113" s="114">
        <f>-71-76</f>
        <v>-147</v>
      </c>
      <c r="P113" s="114">
        <f>-73-78</f>
        <v>-151</v>
      </c>
      <c r="Q113" s="114">
        <f>-73-78</f>
        <v>-151</v>
      </c>
      <c r="R113" s="114">
        <f>-66-71</f>
        <v>-137</v>
      </c>
      <c r="S113" s="114">
        <v>-156</v>
      </c>
      <c r="T113" s="114">
        <v>-141</v>
      </c>
      <c r="U113" s="114">
        <v>-146</v>
      </c>
      <c r="V113" s="114">
        <v>-148</v>
      </c>
      <c r="W113" s="114">
        <v>-148</v>
      </c>
      <c r="X113" s="114">
        <v>-84</v>
      </c>
      <c r="Y113" s="114">
        <v>-71</v>
      </c>
      <c r="Z113" s="114">
        <v>-99</v>
      </c>
      <c r="AA113" s="114">
        <v>-118</v>
      </c>
      <c r="AB113" s="114">
        <f>-60.7-66</f>
        <v>-126.7</v>
      </c>
      <c r="AC113" s="114">
        <f>-60-65</f>
        <v>-125</v>
      </c>
      <c r="AD113" s="114">
        <f>-60-65</f>
        <v>-125</v>
      </c>
      <c r="AE113" s="114">
        <v>-140</v>
      </c>
      <c r="AF113" s="114">
        <v>-160</v>
      </c>
      <c r="AG113" s="113">
        <v>240</v>
      </c>
      <c r="AH113" s="47">
        <f t="shared" si="9"/>
        <v>-71</v>
      </c>
      <c r="AI113" s="48">
        <f t="shared" si="10"/>
        <v>-160</v>
      </c>
    </row>
    <row r="114" spans="1:37" x14ac:dyDescent="0.25">
      <c r="A114" s="102" t="s">
        <v>122</v>
      </c>
      <c r="B114" s="114">
        <v>-13.9</v>
      </c>
      <c r="C114" s="114">
        <v>-16.600000000000001</v>
      </c>
      <c r="D114" s="114">
        <v>-17.600000000000001</v>
      </c>
      <c r="E114" s="114">
        <v>-15.9</v>
      </c>
      <c r="F114" s="114">
        <v>-15.9</v>
      </c>
      <c r="G114" s="114">
        <v>-13.7</v>
      </c>
      <c r="H114" s="114">
        <v>-10.4</v>
      </c>
      <c r="I114" s="114">
        <v>-10.5</v>
      </c>
      <c r="J114" s="114">
        <v>-9.5</v>
      </c>
      <c r="K114" s="114">
        <v>-11</v>
      </c>
      <c r="L114" s="114">
        <v>-7</v>
      </c>
      <c r="M114" s="114">
        <v>-4.8</v>
      </c>
      <c r="N114" s="114">
        <v>-8.6999999999999993</v>
      </c>
      <c r="O114" s="114">
        <v>-3.7</v>
      </c>
      <c r="P114" s="114">
        <v>-3.7</v>
      </c>
      <c r="Q114" s="114">
        <v>0.7</v>
      </c>
      <c r="R114" s="114">
        <v>0.7</v>
      </c>
      <c r="S114" s="114">
        <v>-3</v>
      </c>
      <c r="T114" s="114">
        <v>-7.6</v>
      </c>
      <c r="U114" s="114">
        <v>-5</v>
      </c>
      <c r="V114" s="114">
        <v>-4</v>
      </c>
      <c r="W114" s="114">
        <v>-4</v>
      </c>
      <c r="X114" s="114">
        <v>42</v>
      </c>
      <c r="Y114" s="114">
        <v>37.200000000000003</v>
      </c>
      <c r="Z114" s="114">
        <v>11.8</v>
      </c>
      <c r="AA114" s="114">
        <v>1.1000000000000001</v>
      </c>
      <c r="AB114" s="114">
        <v>-1.2</v>
      </c>
      <c r="AC114" s="114">
        <v>-1.9</v>
      </c>
      <c r="AD114" s="114">
        <v>-1.9</v>
      </c>
      <c r="AE114" s="114">
        <v>-12.5</v>
      </c>
      <c r="AF114" s="114">
        <v>-20</v>
      </c>
      <c r="AG114" s="113">
        <v>60</v>
      </c>
      <c r="AH114" s="47">
        <f t="shared" si="9"/>
        <v>42</v>
      </c>
      <c r="AI114" s="48">
        <f t="shared" si="10"/>
        <v>-20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>
        <v>0</v>
      </c>
      <c r="AB115" s="116">
        <v>0</v>
      </c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9"/>
        <v>0</v>
      </c>
      <c r="AI115" s="48">
        <f t="shared" si="10"/>
        <v>0</v>
      </c>
    </row>
    <row r="116" spans="1:37" x14ac:dyDescent="0.25">
      <c r="A116" s="115" t="s">
        <v>124</v>
      </c>
      <c r="B116" s="116">
        <v>-12.8</v>
      </c>
      <c r="C116" s="116">
        <v>-27.3</v>
      </c>
      <c r="D116" s="116">
        <v>-42.3</v>
      </c>
      <c r="E116" s="116">
        <v>-26.9</v>
      </c>
      <c r="F116" s="116">
        <v>-26.9</v>
      </c>
      <c r="G116" s="116">
        <v>-27</v>
      </c>
      <c r="H116" s="116">
        <v>-20.2</v>
      </c>
      <c r="I116" s="116">
        <v>-5.8</v>
      </c>
      <c r="J116" s="116">
        <v>-23.7</v>
      </c>
      <c r="K116" s="116">
        <v>1.3</v>
      </c>
      <c r="L116" s="116">
        <v>-7.6</v>
      </c>
      <c r="M116" s="116">
        <v>-20.6</v>
      </c>
      <c r="N116" s="116">
        <v>-13.1</v>
      </c>
      <c r="O116" s="116">
        <v>-18.899999999999999</v>
      </c>
      <c r="P116" s="116">
        <v>-3.2</v>
      </c>
      <c r="Q116" s="116">
        <v>-12.1</v>
      </c>
      <c r="R116" s="116">
        <v>-12.1</v>
      </c>
      <c r="S116" s="116">
        <v>-9</v>
      </c>
      <c r="T116" s="116">
        <v>-20</v>
      </c>
      <c r="U116" s="116">
        <v>-13.1</v>
      </c>
      <c r="V116" s="116">
        <v>-19.2</v>
      </c>
      <c r="W116" s="116">
        <v>-19.2</v>
      </c>
      <c r="X116" s="116">
        <v>14</v>
      </c>
      <c r="Y116" s="116">
        <v>-3.8</v>
      </c>
      <c r="Z116" s="116">
        <v>13.3</v>
      </c>
      <c r="AA116" s="116">
        <v>-0.6</v>
      </c>
      <c r="AB116" s="116">
        <v>-11</v>
      </c>
      <c r="AC116" s="116">
        <v>3.8</v>
      </c>
      <c r="AD116" s="116">
        <v>3.8</v>
      </c>
      <c r="AE116" s="116">
        <v>-17</v>
      </c>
      <c r="AF116" s="116">
        <v>5</v>
      </c>
      <c r="AG116" s="117"/>
      <c r="AH116" s="47">
        <f t="shared" si="9"/>
        <v>14</v>
      </c>
      <c r="AI116" s="48">
        <f t="shared" si="10"/>
        <v>-42.3</v>
      </c>
    </row>
    <row r="117" spans="1:37" x14ac:dyDescent="0.25">
      <c r="A117" s="115" t="s">
        <v>125</v>
      </c>
      <c r="B117" s="116">
        <v>-16.899999999999999</v>
      </c>
      <c r="C117" s="116">
        <v>-20.8</v>
      </c>
      <c r="D117" s="116">
        <v>-21.5</v>
      </c>
      <c r="E117" s="116">
        <v>-11.6</v>
      </c>
      <c r="F117" s="116">
        <v>-11.6</v>
      </c>
      <c r="G117" s="116">
        <v>-25.2</v>
      </c>
      <c r="H117" s="116">
        <v>-30.8</v>
      </c>
      <c r="I117" s="116">
        <v>-35</v>
      </c>
      <c r="J117" s="116">
        <v>-29.9</v>
      </c>
      <c r="K117" s="116">
        <v>-33.9</v>
      </c>
      <c r="L117" s="116">
        <v>-45.6</v>
      </c>
      <c r="M117" s="116">
        <v>-57.7</v>
      </c>
      <c r="N117" s="116">
        <v>-112</v>
      </c>
      <c r="O117" s="116">
        <v>-109.9</v>
      </c>
      <c r="P117" s="116">
        <v>-101.2</v>
      </c>
      <c r="Q117" s="116">
        <v>-100.5</v>
      </c>
      <c r="R117" s="116">
        <v>-100.5</v>
      </c>
      <c r="S117" s="116">
        <v>-78</v>
      </c>
      <c r="T117" s="116">
        <v>-96</v>
      </c>
      <c r="U117" s="116">
        <v>-72</v>
      </c>
      <c r="V117" s="116">
        <v>-89.1</v>
      </c>
      <c r="W117" s="116">
        <v>-89.1</v>
      </c>
      <c r="X117" s="116">
        <v>-63.1</v>
      </c>
      <c r="Y117" s="116">
        <v>-77.099999999999994</v>
      </c>
      <c r="Z117" s="116">
        <v>-87</v>
      </c>
      <c r="AA117" s="116">
        <v>-82</v>
      </c>
      <c r="AB117" s="116">
        <v>84</v>
      </c>
      <c r="AC117" s="116">
        <v>32.4</v>
      </c>
      <c r="AD117" s="116">
        <v>32.4</v>
      </c>
      <c r="AE117" s="116">
        <v>-28</v>
      </c>
      <c r="AF117" s="116">
        <v>16</v>
      </c>
      <c r="AG117" s="118"/>
      <c r="AH117" s="47">
        <f t="shared" si="9"/>
        <v>84</v>
      </c>
      <c r="AI117" s="48">
        <f t="shared" si="10"/>
        <v>-112</v>
      </c>
    </row>
    <row r="118" spans="1:37" x14ac:dyDescent="0.25">
      <c r="A118" s="119" t="s">
        <v>126</v>
      </c>
      <c r="B118" s="105">
        <v>77</v>
      </c>
      <c r="C118" s="105">
        <v>78.599999999999994</v>
      </c>
      <c r="D118" s="105">
        <v>73.8</v>
      </c>
      <c r="E118" s="105">
        <v>81.599999999999994</v>
      </c>
      <c r="F118" s="105">
        <v>81.599999999999994</v>
      </c>
      <c r="G118" s="105">
        <v>80.2</v>
      </c>
      <c r="H118" s="105">
        <v>78.599999999999994</v>
      </c>
      <c r="I118" s="105">
        <v>51</v>
      </c>
      <c r="J118" s="105">
        <v>67.900000000000006</v>
      </c>
      <c r="K118" s="105">
        <v>67.5</v>
      </c>
      <c r="L118" s="105">
        <v>62.8</v>
      </c>
      <c r="M118" s="105">
        <v>60.1</v>
      </c>
      <c r="N118" s="105">
        <v>59.1</v>
      </c>
      <c r="O118" s="105">
        <v>64.599999999999994</v>
      </c>
      <c r="P118" s="105">
        <v>65.599999999999994</v>
      </c>
      <c r="Q118" s="105">
        <v>64</v>
      </c>
      <c r="R118" s="105">
        <v>62</v>
      </c>
      <c r="S118" s="105">
        <v>58.3</v>
      </c>
      <c r="T118" s="105">
        <v>46.5</v>
      </c>
      <c r="U118" s="105">
        <v>50.3</v>
      </c>
      <c r="V118" s="105">
        <v>43.1</v>
      </c>
      <c r="W118" s="105">
        <v>43.1</v>
      </c>
      <c r="X118" s="105">
        <v>34</v>
      </c>
      <c r="Y118" s="105">
        <v>41.5</v>
      </c>
      <c r="Z118" s="105">
        <v>41.4</v>
      </c>
      <c r="AA118" s="105">
        <v>45.9</v>
      </c>
      <c r="AB118" s="105">
        <v>54.6</v>
      </c>
      <c r="AC118" s="105">
        <v>52.5</v>
      </c>
      <c r="AD118" s="105">
        <v>52.5</v>
      </c>
      <c r="AE118" s="105">
        <v>66</v>
      </c>
      <c r="AF118" s="105">
        <v>70</v>
      </c>
      <c r="AG118" s="118"/>
      <c r="AH118" s="47">
        <f t="shared" si="9"/>
        <v>81.599999999999994</v>
      </c>
      <c r="AI118" s="48">
        <f t="shared" si="10"/>
        <v>34</v>
      </c>
    </row>
    <row r="119" spans="1:37" x14ac:dyDescent="0.25">
      <c r="A119" s="120" t="s">
        <v>127</v>
      </c>
      <c r="B119" s="105">
        <v>92</v>
      </c>
      <c r="C119" s="105">
        <v>96.9</v>
      </c>
      <c r="D119" s="105">
        <v>98.1</v>
      </c>
      <c r="E119" s="105">
        <v>95</v>
      </c>
      <c r="F119" s="105">
        <v>95</v>
      </c>
      <c r="G119" s="105">
        <v>95.6</v>
      </c>
      <c r="H119" s="105">
        <v>96.1</v>
      </c>
      <c r="I119" s="105">
        <v>85.6</v>
      </c>
      <c r="J119" s="105">
        <v>95.5</v>
      </c>
      <c r="K119" s="105">
        <v>83.8</v>
      </c>
      <c r="L119" s="105">
        <v>86.1</v>
      </c>
      <c r="M119" s="105">
        <v>90.6</v>
      </c>
      <c r="N119" s="105">
        <v>91.2</v>
      </c>
      <c r="O119" s="105">
        <v>98.2</v>
      </c>
      <c r="P119" s="105">
        <v>95.9</v>
      </c>
      <c r="Q119" s="105">
        <v>-100.5</v>
      </c>
      <c r="R119" s="105">
        <v>95.9</v>
      </c>
      <c r="S119" s="105">
        <v>99.1</v>
      </c>
      <c r="T119" s="105">
        <v>96.3</v>
      </c>
      <c r="U119" s="105">
        <v>89.1</v>
      </c>
      <c r="V119" s="105">
        <v>92.3</v>
      </c>
      <c r="W119" s="105">
        <v>92.3</v>
      </c>
      <c r="X119" s="105">
        <v>66.5</v>
      </c>
      <c r="Y119" s="105">
        <v>79.2</v>
      </c>
      <c r="Z119" s="105">
        <v>72.900000000000006</v>
      </c>
      <c r="AA119" s="105">
        <v>85.7</v>
      </c>
      <c r="AB119" s="105">
        <v>94</v>
      </c>
      <c r="AC119" s="105">
        <v>81.900000000000006</v>
      </c>
      <c r="AD119" s="105">
        <v>81.900000000000006</v>
      </c>
      <c r="AE119" s="105">
        <v>103</v>
      </c>
      <c r="AF119" s="105">
        <v>87</v>
      </c>
      <c r="AG119" s="118"/>
      <c r="AH119" s="47">
        <f t="shared" si="9"/>
        <v>103</v>
      </c>
      <c r="AI119" s="48">
        <f t="shared" si="10"/>
        <v>-100.5</v>
      </c>
    </row>
    <row r="120" spans="1:37" ht="15.75" thickBot="1" x14ac:dyDescent="0.3">
      <c r="A120" s="119" t="s">
        <v>128</v>
      </c>
      <c r="B120" s="105">
        <v>-36.4</v>
      </c>
      <c r="C120" s="105">
        <v>-38.9</v>
      </c>
      <c r="D120" s="105">
        <v>-40.4</v>
      </c>
      <c r="E120" s="105">
        <v>-42.6</v>
      </c>
      <c r="F120" s="105">
        <v>-42.6</v>
      </c>
      <c r="G120" s="105">
        <v>-44.6</v>
      </c>
      <c r="H120" s="105">
        <v>-43.8</v>
      </c>
      <c r="I120" s="105">
        <v>-28.8</v>
      </c>
      <c r="J120" s="105">
        <v>-33.700000000000003</v>
      </c>
      <c r="K120" s="105">
        <v>-30.8</v>
      </c>
      <c r="L120" s="105">
        <v>-27.2</v>
      </c>
      <c r="M120" s="105">
        <v>-15.4</v>
      </c>
      <c r="N120" s="105">
        <v>-12.2</v>
      </c>
      <c r="O120" s="105">
        <v>-18.5</v>
      </c>
      <c r="P120" s="105">
        <v>-18.5</v>
      </c>
      <c r="Q120" s="105">
        <v>-16</v>
      </c>
      <c r="R120" s="105">
        <v>-15.9</v>
      </c>
      <c r="S120" s="105">
        <v>-21</v>
      </c>
      <c r="T120" s="105">
        <v>-3</v>
      </c>
      <c r="U120" s="105">
        <v>-3.1</v>
      </c>
      <c r="V120" s="105">
        <v>0.3</v>
      </c>
      <c r="W120" s="105">
        <v>0.3</v>
      </c>
      <c r="X120" s="105">
        <v>16</v>
      </c>
      <c r="Y120" s="105">
        <v>11.9</v>
      </c>
      <c r="Z120" s="105">
        <v>8.3000000000000007</v>
      </c>
      <c r="AA120" s="105">
        <v>9.1999999999999993</v>
      </c>
      <c r="AB120" s="105">
        <v>2.4</v>
      </c>
      <c r="AC120" s="105">
        <v>1.9</v>
      </c>
      <c r="AD120" s="105">
        <v>1.9</v>
      </c>
      <c r="AE120" s="105">
        <v>-15</v>
      </c>
      <c r="AF120" s="105">
        <v>28</v>
      </c>
      <c r="AG120" s="118"/>
      <c r="AH120" s="47">
        <f t="shared" si="9"/>
        <v>28</v>
      </c>
      <c r="AI120" s="48">
        <f t="shared" si="10"/>
        <v>-44.6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9">SUM(B122:B226)</f>
        <v>0</v>
      </c>
      <c r="C227" s="136">
        <f t="shared" si="19"/>
        <v>0</v>
      </c>
      <c r="D227" s="136">
        <f t="shared" si="19"/>
        <v>0</v>
      </c>
      <c r="E227" s="136">
        <f t="shared" si="19"/>
        <v>0</v>
      </c>
      <c r="F227" s="136">
        <f t="shared" si="19"/>
        <v>0</v>
      </c>
      <c r="G227" s="136">
        <f t="shared" si="19"/>
        <v>0</v>
      </c>
      <c r="H227" s="136">
        <f t="shared" si="19"/>
        <v>0</v>
      </c>
      <c r="I227" s="136">
        <f t="shared" si="19"/>
        <v>0</v>
      </c>
      <c r="J227" s="136">
        <f t="shared" si="19"/>
        <v>0</v>
      </c>
      <c r="K227" s="136">
        <f t="shared" si="19"/>
        <v>0</v>
      </c>
      <c r="L227" s="136">
        <f t="shared" si="19"/>
        <v>0</v>
      </c>
      <c r="M227" s="136">
        <f t="shared" si="19"/>
        <v>0</v>
      </c>
      <c r="N227" s="136">
        <f t="shared" si="19"/>
        <v>0</v>
      </c>
      <c r="O227" s="136">
        <f t="shared" si="19"/>
        <v>0</v>
      </c>
      <c r="P227" s="136">
        <f t="shared" si="19"/>
        <v>0</v>
      </c>
      <c r="Q227" s="136">
        <f t="shared" si="19"/>
        <v>0</v>
      </c>
      <c r="R227" s="136">
        <f t="shared" si="19"/>
        <v>0</v>
      </c>
      <c r="S227" s="136">
        <f t="shared" si="19"/>
        <v>0</v>
      </c>
      <c r="T227" s="136">
        <f t="shared" si="19"/>
        <v>0</v>
      </c>
      <c r="U227" s="136">
        <f t="shared" si="19"/>
        <v>0</v>
      </c>
      <c r="V227" s="136">
        <f t="shared" si="19"/>
        <v>0</v>
      </c>
      <c r="W227" s="136">
        <f t="shared" si="19"/>
        <v>0</v>
      </c>
      <c r="X227" s="136">
        <f t="shared" si="19"/>
        <v>0</v>
      </c>
      <c r="Y227" s="136">
        <f t="shared" si="19"/>
        <v>0</v>
      </c>
      <c r="Z227" s="136">
        <f t="shared" si="19"/>
        <v>0</v>
      </c>
      <c r="AA227" s="136">
        <f t="shared" si="19"/>
        <v>0</v>
      </c>
      <c r="AB227" s="136">
        <f t="shared" si="19"/>
        <v>0</v>
      </c>
      <c r="AC227" s="136">
        <f t="shared" si="19"/>
        <v>0</v>
      </c>
      <c r="AD227" s="136">
        <f t="shared" si="19"/>
        <v>0</v>
      </c>
      <c r="AE227" s="136">
        <f t="shared" si="19"/>
        <v>0</v>
      </c>
      <c r="AF227" s="137">
        <f t="shared" si="19"/>
        <v>0</v>
      </c>
      <c r="AG227" s="138">
        <f t="shared" si="1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20">AF229</f>
        <v>0</v>
      </c>
      <c r="C229" s="140">
        <v>0.3</v>
      </c>
      <c r="D229" s="140">
        <f t="shared" ref="D229:P234" si="21">C229</f>
        <v>0.3</v>
      </c>
      <c r="E229" s="140">
        <f t="shared" si="21"/>
        <v>0.3</v>
      </c>
      <c r="F229" s="140">
        <f t="shared" si="21"/>
        <v>0.3</v>
      </c>
      <c r="G229" s="140">
        <f t="shared" si="21"/>
        <v>0.3</v>
      </c>
      <c r="H229" s="140">
        <f t="shared" si="21"/>
        <v>0.3</v>
      </c>
      <c r="I229" s="140">
        <f t="shared" si="21"/>
        <v>0.3</v>
      </c>
      <c r="J229" s="140">
        <f t="shared" si="21"/>
        <v>0.3</v>
      </c>
      <c r="K229" s="140">
        <f t="shared" si="21"/>
        <v>0.3</v>
      </c>
      <c r="L229" s="140">
        <f t="shared" si="21"/>
        <v>0.3</v>
      </c>
      <c r="M229" s="140">
        <f t="shared" si="21"/>
        <v>0.3</v>
      </c>
      <c r="N229" s="140">
        <f t="shared" si="21"/>
        <v>0.3</v>
      </c>
      <c r="O229" s="140">
        <f t="shared" si="21"/>
        <v>0.3</v>
      </c>
      <c r="P229" s="140">
        <f t="shared" si="21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20"/>
        <v>0</v>
      </c>
      <c r="C230" s="128">
        <v>0.4</v>
      </c>
      <c r="D230" s="128">
        <f t="shared" si="21"/>
        <v>0.4</v>
      </c>
      <c r="E230" s="128">
        <f t="shared" si="21"/>
        <v>0.4</v>
      </c>
      <c r="F230" s="128">
        <f t="shared" si="21"/>
        <v>0.4</v>
      </c>
      <c r="G230" s="128">
        <f t="shared" si="21"/>
        <v>0.4</v>
      </c>
      <c r="H230" s="128">
        <f t="shared" si="21"/>
        <v>0.4</v>
      </c>
      <c r="I230" s="128">
        <f t="shared" si="21"/>
        <v>0.4</v>
      </c>
      <c r="J230" s="128">
        <f t="shared" si="21"/>
        <v>0.4</v>
      </c>
      <c r="K230" s="128">
        <f t="shared" si="21"/>
        <v>0.4</v>
      </c>
      <c r="L230" s="128">
        <f t="shared" si="21"/>
        <v>0.4</v>
      </c>
      <c r="M230" s="128">
        <f t="shared" si="21"/>
        <v>0.4</v>
      </c>
      <c r="N230" s="128">
        <f t="shared" si="21"/>
        <v>0.4</v>
      </c>
      <c r="O230" s="128">
        <f t="shared" si="21"/>
        <v>0.4</v>
      </c>
      <c r="P230" s="128">
        <f t="shared" si="21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20"/>
        <v>0</v>
      </c>
      <c r="C231" s="128">
        <v>1.5</v>
      </c>
      <c r="D231" s="128">
        <f t="shared" si="21"/>
        <v>1.5</v>
      </c>
      <c r="E231" s="128">
        <f t="shared" si="21"/>
        <v>1.5</v>
      </c>
      <c r="F231" s="128">
        <f t="shared" si="21"/>
        <v>1.5</v>
      </c>
      <c r="G231" s="128">
        <f t="shared" si="21"/>
        <v>1.5</v>
      </c>
      <c r="H231" s="128">
        <f t="shared" si="21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1"/>
        <v>123.21900000000009</v>
      </c>
      <c r="K231" s="128">
        <f t="shared" ca="1" si="21"/>
        <v>123.21900000000009</v>
      </c>
      <c r="L231" s="128">
        <f t="shared" ca="1" si="21"/>
        <v>123.21900000000009</v>
      </c>
      <c r="M231" s="128">
        <f t="shared" ca="1" si="21"/>
        <v>119.19900000000008</v>
      </c>
      <c r="N231" s="128">
        <f t="shared" ca="1" si="21"/>
        <v>119.19900000000008</v>
      </c>
      <c r="O231" s="128">
        <f t="shared" ca="1" si="21"/>
        <v>119.19900000000008</v>
      </c>
      <c r="P231" s="128">
        <f t="shared" ca="1" si="21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20"/>
        <v>0</v>
      </c>
      <c r="C232" s="128">
        <v>0.3</v>
      </c>
      <c r="D232" s="128">
        <f t="shared" si="21"/>
        <v>0.3</v>
      </c>
      <c r="E232" s="128">
        <f t="shared" si="21"/>
        <v>0.3</v>
      </c>
      <c r="F232" s="128">
        <f t="shared" si="21"/>
        <v>0.3</v>
      </c>
      <c r="G232" s="128">
        <f t="shared" si="21"/>
        <v>0.3</v>
      </c>
      <c r="H232" s="128">
        <f t="shared" si="21"/>
        <v>0.3</v>
      </c>
      <c r="I232" s="128">
        <f t="shared" si="21"/>
        <v>0.3</v>
      </c>
      <c r="J232" s="128">
        <f t="shared" si="21"/>
        <v>0.3</v>
      </c>
      <c r="K232" s="128">
        <f t="shared" si="21"/>
        <v>0.3</v>
      </c>
      <c r="L232" s="128">
        <f t="shared" si="21"/>
        <v>0.3</v>
      </c>
      <c r="M232" s="128">
        <f t="shared" si="21"/>
        <v>0.3</v>
      </c>
      <c r="N232" s="128">
        <f t="shared" si="21"/>
        <v>0.3</v>
      </c>
      <c r="O232" s="128">
        <f t="shared" si="21"/>
        <v>0.3</v>
      </c>
      <c r="P232" s="128">
        <f t="shared" si="21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20"/>
        <v>0</v>
      </c>
      <c r="C233" s="128">
        <v>0.4</v>
      </c>
      <c r="D233" s="128">
        <f t="shared" si="21"/>
        <v>0.4</v>
      </c>
      <c r="E233" s="128">
        <f t="shared" si="21"/>
        <v>0.4</v>
      </c>
      <c r="F233" s="128">
        <f t="shared" si="21"/>
        <v>0.4</v>
      </c>
      <c r="G233" s="128">
        <f t="shared" si="21"/>
        <v>0.4</v>
      </c>
      <c r="H233" s="128">
        <f t="shared" si="21"/>
        <v>0.4</v>
      </c>
      <c r="I233" s="128">
        <f t="shared" si="21"/>
        <v>0.4</v>
      </c>
      <c r="J233" s="128">
        <f t="shared" si="21"/>
        <v>0.4</v>
      </c>
      <c r="K233" s="128">
        <f t="shared" si="21"/>
        <v>0.4</v>
      </c>
      <c r="L233" s="128">
        <f t="shared" si="21"/>
        <v>0.4</v>
      </c>
      <c r="M233" s="128">
        <f t="shared" si="21"/>
        <v>0.4</v>
      </c>
      <c r="N233" s="128">
        <f t="shared" si="21"/>
        <v>0.4</v>
      </c>
      <c r="O233" s="128">
        <f t="shared" si="21"/>
        <v>0.4</v>
      </c>
      <c r="P233" s="128">
        <f t="shared" si="21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20"/>
        <v>0</v>
      </c>
      <c r="C234" s="132">
        <v>0.64</v>
      </c>
      <c r="D234" s="132">
        <f t="shared" si="21"/>
        <v>0.64</v>
      </c>
      <c r="E234" s="132">
        <f t="shared" si="21"/>
        <v>0.64</v>
      </c>
      <c r="F234" s="132">
        <f t="shared" si="21"/>
        <v>0.64</v>
      </c>
      <c r="G234" s="132">
        <f t="shared" si="21"/>
        <v>0.64</v>
      </c>
      <c r="H234" s="132">
        <f t="shared" si="21"/>
        <v>0.64</v>
      </c>
      <c r="I234" s="132">
        <f t="shared" si="21"/>
        <v>0.64</v>
      </c>
      <c r="J234" s="132">
        <f t="shared" si="21"/>
        <v>0.64</v>
      </c>
      <c r="K234" s="132">
        <f t="shared" si="21"/>
        <v>0.64</v>
      </c>
      <c r="L234" s="132">
        <f t="shared" si="21"/>
        <v>0.64</v>
      </c>
      <c r="M234" s="132">
        <f t="shared" si="21"/>
        <v>0.64</v>
      </c>
      <c r="N234" s="132">
        <f t="shared" si="21"/>
        <v>0.64</v>
      </c>
      <c r="O234" s="132">
        <f t="shared" si="21"/>
        <v>0.64</v>
      </c>
      <c r="P234" s="132">
        <f t="shared" si="21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2">SUM(B229:B234)</f>
        <v>0</v>
      </c>
      <c r="C235" s="136">
        <f t="shared" si="22"/>
        <v>3.54</v>
      </c>
      <c r="D235" s="136">
        <f t="shared" si="22"/>
        <v>3.54</v>
      </c>
      <c r="E235" s="136">
        <f t="shared" si="22"/>
        <v>3.54</v>
      </c>
      <c r="F235" s="136">
        <f t="shared" si="22"/>
        <v>3.54</v>
      </c>
      <c r="G235" s="136">
        <f t="shared" si="22"/>
        <v>3.54</v>
      </c>
      <c r="H235" s="136">
        <f t="shared" si="22"/>
        <v>3.54</v>
      </c>
      <c r="I235" s="136">
        <f t="shared" ca="1" si="22"/>
        <v>121.23900000000009</v>
      </c>
      <c r="J235" s="136">
        <f t="shared" ca="1" si="22"/>
        <v>121.23900000000009</v>
      </c>
      <c r="K235" s="136">
        <f t="shared" ca="1" si="22"/>
        <v>121.23900000000009</v>
      </c>
      <c r="L235" s="136">
        <f t="shared" ca="1" si="22"/>
        <v>125.2590000000001</v>
      </c>
      <c r="M235" s="136">
        <f t="shared" ca="1" si="22"/>
        <v>121.23900000000009</v>
      </c>
      <c r="N235" s="136">
        <f t="shared" ca="1" si="22"/>
        <v>121.23900000000009</v>
      </c>
      <c r="O235" s="136">
        <f t="shared" ca="1" si="22"/>
        <v>121.23900000000009</v>
      </c>
      <c r="P235" s="136">
        <f t="shared" ca="1" si="22"/>
        <v>121.23900000000009</v>
      </c>
      <c r="Q235" s="136">
        <f t="shared" si="22"/>
        <v>0</v>
      </c>
      <c r="R235" s="136">
        <f t="shared" si="22"/>
        <v>0</v>
      </c>
      <c r="S235" s="136">
        <f t="shared" si="22"/>
        <v>0</v>
      </c>
      <c r="T235" s="136">
        <f t="shared" si="22"/>
        <v>0</v>
      </c>
      <c r="U235" s="136">
        <f t="shared" si="22"/>
        <v>0</v>
      </c>
      <c r="V235" s="136">
        <f t="shared" si="22"/>
        <v>0</v>
      </c>
      <c r="W235" s="136">
        <f t="shared" si="22"/>
        <v>0</v>
      </c>
      <c r="X235" s="136">
        <f t="shared" si="22"/>
        <v>0</v>
      </c>
      <c r="Y235" s="136">
        <f t="shared" si="22"/>
        <v>0</v>
      </c>
      <c r="Z235" s="136">
        <f t="shared" si="22"/>
        <v>0</v>
      </c>
      <c r="AA235" s="136">
        <f t="shared" si="22"/>
        <v>0</v>
      </c>
      <c r="AB235" s="136">
        <f t="shared" si="22"/>
        <v>0</v>
      </c>
      <c r="AC235" s="136">
        <f t="shared" si="22"/>
        <v>0</v>
      </c>
      <c r="AD235" s="136">
        <f t="shared" si="22"/>
        <v>0</v>
      </c>
      <c r="AE235" s="136">
        <f t="shared" si="22"/>
        <v>0</v>
      </c>
      <c r="AF235" s="136">
        <f t="shared" si="22"/>
        <v>0</v>
      </c>
      <c r="AG235" s="145">
        <f t="shared" si="22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2080.54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28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2080/06/28)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2080/06/28)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3">B91</f>
        <v>1887.34</v>
      </c>
      <c r="U249" s="170">
        <f t="shared" si="23"/>
        <v>1881.24</v>
      </c>
      <c r="V249" s="170">
        <f t="shared" si="23"/>
        <v>1878.3400000000001</v>
      </c>
      <c r="W249" s="170">
        <f t="shared" si="23"/>
        <v>1842.1399999999999</v>
      </c>
      <c r="X249" s="170">
        <f t="shared" si="23"/>
        <v>1842.1399999999999</v>
      </c>
      <c r="Y249" s="170">
        <f t="shared" si="23"/>
        <v>1864.34</v>
      </c>
      <c r="Z249" s="170">
        <f t="shared" si="23"/>
        <v>1894.04</v>
      </c>
      <c r="AA249" s="170">
        <f t="shared" si="23"/>
        <v>1927.04</v>
      </c>
      <c r="AB249" s="170">
        <f t="shared" si="23"/>
        <v>1968.9399999999998</v>
      </c>
      <c r="AC249" s="170">
        <f t="shared" si="23"/>
        <v>1992.9399999999998</v>
      </c>
      <c r="AD249" s="170">
        <f t="shared" si="23"/>
        <v>2021.3399999999997</v>
      </c>
      <c r="AE249" s="170">
        <f t="shared" si="23"/>
        <v>2061.94</v>
      </c>
      <c r="AF249" s="170">
        <f t="shared" si="23"/>
        <v>2080.54</v>
      </c>
      <c r="AG249" s="170">
        <f t="shared" si="23"/>
        <v>2078.4400000000005</v>
      </c>
      <c r="AH249" s="170">
        <f t="shared" si="23"/>
        <v>2077.44</v>
      </c>
      <c r="AI249" s="170">
        <f t="shared" si="23"/>
        <v>2053.6400000000003</v>
      </c>
      <c r="AJ249" s="170">
        <f t="shared" si="23"/>
        <v>2013.3400000000001</v>
      </c>
      <c r="AK249" s="170">
        <f t="shared" si="23"/>
        <v>2034.64</v>
      </c>
      <c r="AL249" s="170">
        <f t="shared" si="23"/>
        <v>2034.94</v>
      </c>
      <c r="AM249" s="170">
        <f t="shared" si="23"/>
        <v>2018.54</v>
      </c>
      <c r="AN249" s="170">
        <f t="shared" si="23"/>
        <v>2014.8400000000001</v>
      </c>
      <c r="AO249" s="170">
        <f t="shared" si="23"/>
        <v>2130.84</v>
      </c>
      <c r="AP249" s="170">
        <f t="shared" si="23"/>
        <v>2212.3399999999997</v>
      </c>
      <c r="AQ249" s="170">
        <f t="shared" si="23"/>
        <v>2255.54</v>
      </c>
      <c r="AR249" s="170">
        <f t="shared" si="23"/>
        <v>2196.94</v>
      </c>
      <c r="AS249" s="170">
        <f t="shared" si="23"/>
        <v>2150.54</v>
      </c>
      <c r="AT249" s="170">
        <f t="shared" si="23"/>
        <v>2147.54</v>
      </c>
      <c r="AU249" s="170">
        <f t="shared" si="23"/>
        <v>2103.94</v>
      </c>
      <c r="AV249" s="170">
        <f t="shared" si="23"/>
        <v>2081.94</v>
      </c>
      <c r="AW249" s="170">
        <f t="shared" si="23"/>
        <v>2026.1399999999999</v>
      </c>
      <c r="AX249" s="170">
        <f t="shared" si="23"/>
        <v>2026.1399999999999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4">C234</f>
        <v>0.64</v>
      </c>
      <c r="C270" s="173">
        <f t="shared" si="24"/>
        <v>0.64</v>
      </c>
      <c r="D270" s="173">
        <f t="shared" si="24"/>
        <v>0.64</v>
      </c>
      <c r="E270" s="173">
        <f t="shared" si="24"/>
        <v>0.64</v>
      </c>
      <c r="F270" s="173">
        <f t="shared" si="24"/>
        <v>0.64</v>
      </c>
      <c r="G270" s="173">
        <f t="shared" si="24"/>
        <v>0.64</v>
      </c>
      <c r="H270" s="173">
        <f t="shared" si="24"/>
        <v>0.64</v>
      </c>
      <c r="I270" s="173">
        <f t="shared" si="24"/>
        <v>0.64</v>
      </c>
      <c r="J270" s="173">
        <f t="shared" si="24"/>
        <v>0.64</v>
      </c>
      <c r="K270" s="173">
        <f t="shared" si="24"/>
        <v>0.64</v>
      </c>
      <c r="L270" s="173">
        <f t="shared" si="24"/>
        <v>0.64</v>
      </c>
      <c r="M270" s="173">
        <f t="shared" si="24"/>
        <v>0.64</v>
      </c>
      <c r="N270" s="173">
        <f t="shared" si="24"/>
        <v>0.64</v>
      </c>
      <c r="O270" s="173">
        <f t="shared" si="24"/>
        <v>0.64</v>
      </c>
      <c r="P270" s="173">
        <f t="shared" si="24"/>
        <v>0</v>
      </c>
      <c r="Q270" s="173">
        <f t="shared" si="24"/>
        <v>0</v>
      </c>
      <c r="R270" s="173">
        <f t="shared" si="24"/>
        <v>0</v>
      </c>
      <c r="S270" s="173">
        <f t="shared" si="24"/>
        <v>0</v>
      </c>
      <c r="T270" s="173">
        <f t="shared" si="24"/>
        <v>0</v>
      </c>
      <c r="U270" s="173">
        <f t="shared" si="24"/>
        <v>0</v>
      </c>
      <c r="V270" s="173">
        <f t="shared" si="24"/>
        <v>0</v>
      </c>
      <c r="W270" s="173">
        <f t="shared" si="24"/>
        <v>0</v>
      </c>
      <c r="X270" s="173">
        <f t="shared" si="24"/>
        <v>0</v>
      </c>
      <c r="Y270" s="173">
        <f t="shared" si="24"/>
        <v>0</v>
      </c>
      <c r="Z270" s="173">
        <f t="shared" si="24"/>
        <v>0</v>
      </c>
      <c r="AA270" s="173">
        <f t="shared" si="24"/>
        <v>0</v>
      </c>
      <c r="AB270" s="173">
        <f t="shared" si="24"/>
        <v>0</v>
      </c>
      <c r="AC270" s="173">
        <f t="shared" si="24"/>
        <v>0</v>
      </c>
      <c r="AD270" s="173">
        <f t="shared" si="24"/>
        <v>0</v>
      </c>
      <c r="AE270" s="173">
        <f t="shared" si="24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5">IF(B238&lt;100,"",B238-520)</f>
        <v/>
      </c>
      <c r="C271" s="174" t="str">
        <f t="shared" si="25"/>
        <v/>
      </c>
      <c r="D271" s="174" t="str">
        <f t="shared" si="25"/>
        <v/>
      </c>
      <c r="E271" s="174" t="str">
        <f t="shared" si="25"/>
        <v/>
      </c>
      <c r="F271" s="174" t="str">
        <f t="shared" si="25"/>
        <v/>
      </c>
      <c r="G271" s="174" t="str">
        <f t="shared" si="25"/>
        <v/>
      </c>
      <c r="H271" s="174" t="str">
        <f t="shared" si="25"/>
        <v/>
      </c>
      <c r="I271" s="174" t="str">
        <f t="shared" si="25"/>
        <v/>
      </c>
      <c r="J271" s="174" t="str">
        <f t="shared" si="25"/>
        <v/>
      </c>
      <c r="K271" s="174" t="str">
        <f t="shared" si="25"/>
        <v/>
      </c>
      <c r="L271" s="174" t="str">
        <f t="shared" si="25"/>
        <v/>
      </c>
      <c r="M271" s="174" t="str">
        <f t="shared" si="25"/>
        <v/>
      </c>
      <c r="N271" s="174" t="str">
        <f t="shared" si="25"/>
        <v/>
      </c>
      <c r="O271" s="174" t="str">
        <f t="shared" si="25"/>
        <v/>
      </c>
      <c r="P271" s="174" t="str">
        <f t="shared" si="25"/>
        <v/>
      </c>
      <c r="Q271" s="174" t="str">
        <f t="shared" si="25"/>
        <v/>
      </c>
      <c r="R271" s="174" t="str">
        <f t="shared" si="25"/>
        <v/>
      </c>
      <c r="S271" s="174" t="str">
        <f t="shared" si="25"/>
        <v/>
      </c>
      <c r="T271" s="174" t="str">
        <f t="shared" si="25"/>
        <v/>
      </c>
      <c r="U271" s="174" t="str">
        <f t="shared" si="25"/>
        <v/>
      </c>
      <c r="V271" s="174" t="str">
        <f t="shared" si="25"/>
        <v/>
      </c>
      <c r="W271" s="174" t="str">
        <f t="shared" si="25"/>
        <v/>
      </c>
      <c r="X271" s="174" t="str">
        <f t="shared" si="25"/>
        <v/>
      </c>
      <c r="Y271" s="174" t="str">
        <f t="shared" si="25"/>
        <v/>
      </c>
      <c r="Z271" s="174" t="str">
        <f t="shared" si="25"/>
        <v/>
      </c>
      <c r="AA271" s="174" t="str">
        <f t="shared" si="25"/>
        <v/>
      </c>
      <c r="AB271" s="174" t="str">
        <f t="shared" si="25"/>
        <v/>
      </c>
      <c r="AC271" s="174" t="str">
        <f t="shared" si="25"/>
        <v/>
      </c>
      <c r="AD271" s="174" t="str">
        <f t="shared" si="25"/>
        <v/>
      </c>
      <c r="AE271" s="174" t="str">
        <f t="shared" si="25"/>
        <v/>
      </c>
      <c r="AF271" s="174" t="str">
        <f t="shared" si="25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6">IF(B239&lt;100,"",B239-620)</f>
        <v/>
      </c>
      <c r="C272" s="174" t="str">
        <f t="shared" si="26"/>
        <v/>
      </c>
      <c r="D272" s="174" t="str">
        <f t="shared" si="26"/>
        <v/>
      </c>
      <c r="E272" s="174" t="str">
        <f t="shared" si="26"/>
        <v/>
      </c>
      <c r="F272" s="174" t="str">
        <f t="shared" si="26"/>
        <v/>
      </c>
      <c r="G272" s="174" t="str">
        <f t="shared" si="26"/>
        <v/>
      </c>
      <c r="H272" s="174" t="str">
        <f t="shared" si="26"/>
        <v/>
      </c>
      <c r="I272" s="174" t="str">
        <f t="shared" si="26"/>
        <v/>
      </c>
      <c r="J272" s="174" t="str">
        <f t="shared" si="26"/>
        <v/>
      </c>
      <c r="K272" s="174" t="str">
        <f t="shared" si="26"/>
        <v/>
      </c>
      <c r="L272" s="174" t="str">
        <f t="shared" si="26"/>
        <v/>
      </c>
      <c r="M272" s="174" t="str">
        <f t="shared" si="26"/>
        <v/>
      </c>
      <c r="N272" s="174" t="str">
        <f t="shared" si="26"/>
        <v/>
      </c>
      <c r="O272" s="174" t="str">
        <f t="shared" si="26"/>
        <v/>
      </c>
      <c r="P272" s="174" t="str">
        <f t="shared" si="26"/>
        <v/>
      </c>
      <c r="Q272" s="174" t="str">
        <f t="shared" si="26"/>
        <v/>
      </c>
      <c r="R272" s="174" t="str">
        <f t="shared" si="26"/>
        <v/>
      </c>
      <c r="S272" s="174" t="str">
        <f t="shared" si="26"/>
        <v/>
      </c>
      <c r="T272" s="174" t="str">
        <f t="shared" si="26"/>
        <v/>
      </c>
      <c r="U272" s="174" t="str">
        <f t="shared" si="26"/>
        <v/>
      </c>
      <c r="V272" s="174" t="str">
        <f t="shared" si="26"/>
        <v/>
      </c>
      <c r="W272" s="174" t="str">
        <f t="shared" si="26"/>
        <v/>
      </c>
      <c r="X272" s="174" t="str">
        <f t="shared" si="26"/>
        <v/>
      </c>
      <c r="Y272" s="174" t="str">
        <f t="shared" si="26"/>
        <v/>
      </c>
      <c r="Z272" s="174" t="str">
        <f t="shared" si="26"/>
        <v/>
      </c>
      <c r="AA272" s="174" t="str">
        <f t="shared" si="26"/>
        <v/>
      </c>
      <c r="AB272" s="174" t="str">
        <f t="shared" si="26"/>
        <v/>
      </c>
      <c r="AC272" s="174" t="str">
        <f t="shared" si="26"/>
        <v/>
      </c>
      <c r="AD272" s="174" t="str">
        <f t="shared" si="26"/>
        <v/>
      </c>
      <c r="AE272" s="174" t="str">
        <f t="shared" si="26"/>
        <v/>
      </c>
      <c r="AF272" s="174" t="str">
        <f t="shared" si="26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7">IF(B240&lt;100,"",B240-330)</f>
        <v/>
      </c>
      <c r="C273" s="174" t="str">
        <f t="shared" si="27"/>
        <v/>
      </c>
      <c r="D273" s="174" t="str">
        <f t="shared" si="27"/>
        <v/>
      </c>
      <c r="E273" s="174" t="str">
        <f t="shared" si="27"/>
        <v/>
      </c>
      <c r="F273" s="174" t="str">
        <f t="shared" si="27"/>
        <v/>
      </c>
      <c r="G273" s="174" t="str">
        <f t="shared" si="27"/>
        <v/>
      </c>
      <c r="H273" s="174" t="str">
        <f t="shared" si="27"/>
        <v/>
      </c>
      <c r="I273" s="174" t="str">
        <f t="shared" si="27"/>
        <v/>
      </c>
      <c r="J273" s="174" t="str">
        <f t="shared" si="27"/>
        <v/>
      </c>
      <c r="K273" s="174" t="str">
        <f t="shared" si="27"/>
        <v/>
      </c>
      <c r="L273" s="174" t="str">
        <f t="shared" si="27"/>
        <v/>
      </c>
      <c r="M273" s="174" t="str">
        <f t="shared" si="27"/>
        <v/>
      </c>
      <c r="N273" s="174" t="str">
        <f t="shared" si="27"/>
        <v/>
      </c>
      <c r="O273" s="174" t="str">
        <f t="shared" si="27"/>
        <v/>
      </c>
      <c r="P273" s="174" t="str">
        <f t="shared" si="27"/>
        <v/>
      </c>
      <c r="Q273" s="174" t="str">
        <f t="shared" si="27"/>
        <v/>
      </c>
      <c r="R273" s="174" t="str">
        <f t="shared" si="27"/>
        <v/>
      </c>
      <c r="S273" s="174" t="str">
        <f t="shared" si="27"/>
        <v/>
      </c>
      <c r="T273" s="174" t="str">
        <f t="shared" si="27"/>
        <v/>
      </c>
      <c r="U273" s="174" t="str">
        <f t="shared" si="27"/>
        <v/>
      </c>
      <c r="V273" s="174" t="str">
        <f t="shared" si="27"/>
        <v/>
      </c>
      <c r="W273" s="174" t="str">
        <f t="shared" si="27"/>
        <v/>
      </c>
      <c r="X273" s="174" t="str">
        <f t="shared" si="27"/>
        <v/>
      </c>
      <c r="Y273" s="174" t="str">
        <f t="shared" si="27"/>
        <v/>
      </c>
      <c r="Z273" s="174" t="str">
        <f t="shared" si="27"/>
        <v/>
      </c>
      <c r="AA273" s="174" t="str">
        <f t="shared" si="27"/>
        <v/>
      </c>
      <c r="AB273" s="174" t="str">
        <f t="shared" si="27"/>
        <v/>
      </c>
      <c r="AC273" s="174" t="str">
        <f t="shared" si="27"/>
        <v/>
      </c>
      <c r="AD273" s="174" t="str">
        <f t="shared" si="27"/>
        <v/>
      </c>
      <c r="AE273" s="174" t="str">
        <f t="shared" si="27"/>
        <v/>
      </c>
      <c r="AF273" s="174" t="str">
        <f t="shared" si="27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8">IF(B241&lt;100,"",B241-1500)</f>
        <v/>
      </c>
      <c r="C274" s="174" t="str">
        <f t="shared" si="28"/>
        <v/>
      </c>
      <c r="D274" s="174" t="str">
        <f t="shared" si="28"/>
        <v/>
      </c>
      <c r="E274" s="174" t="str">
        <f t="shared" si="28"/>
        <v/>
      </c>
      <c r="F274" s="174" t="str">
        <f t="shared" si="28"/>
        <v/>
      </c>
      <c r="G274" s="174" t="str">
        <f t="shared" si="28"/>
        <v/>
      </c>
      <c r="H274" s="174" t="str">
        <f t="shared" si="28"/>
        <v/>
      </c>
      <c r="I274" s="174" t="str">
        <f t="shared" si="28"/>
        <v/>
      </c>
      <c r="J274" s="174" t="str">
        <f t="shared" si="28"/>
        <v/>
      </c>
      <c r="K274" s="174" t="str">
        <f t="shared" si="28"/>
        <v/>
      </c>
      <c r="L274" s="174" t="str">
        <f t="shared" si="28"/>
        <v/>
      </c>
      <c r="M274" s="174" t="str">
        <f t="shared" si="28"/>
        <v/>
      </c>
      <c r="N274" s="174" t="str">
        <f t="shared" si="28"/>
        <v/>
      </c>
      <c r="O274" s="174" t="str">
        <f t="shared" si="28"/>
        <v/>
      </c>
      <c r="P274" s="174" t="str">
        <f t="shared" si="28"/>
        <v/>
      </c>
      <c r="Q274" s="174" t="str">
        <f t="shared" si="28"/>
        <v/>
      </c>
      <c r="R274" s="174" t="str">
        <f t="shared" si="28"/>
        <v/>
      </c>
      <c r="S274" s="174" t="str">
        <f t="shared" si="28"/>
        <v/>
      </c>
      <c r="T274" s="174" t="str">
        <f t="shared" si="28"/>
        <v/>
      </c>
      <c r="U274" s="174" t="str">
        <f t="shared" si="28"/>
        <v/>
      </c>
      <c r="V274" s="174" t="str">
        <f t="shared" si="28"/>
        <v/>
      </c>
      <c r="W274" s="174" t="str">
        <f t="shared" si="28"/>
        <v/>
      </c>
      <c r="X274" s="174" t="str">
        <f t="shared" si="28"/>
        <v/>
      </c>
      <c r="Y274" s="174" t="str">
        <f t="shared" si="28"/>
        <v/>
      </c>
      <c r="Z274" s="174" t="str">
        <f t="shared" si="28"/>
        <v/>
      </c>
      <c r="AA274" s="174" t="str">
        <f t="shared" si="28"/>
        <v/>
      </c>
      <c r="AB274" s="174" t="str">
        <f t="shared" si="28"/>
        <v/>
      </c>
      <c r="AC274" s="174" t="str">
        <f t="shared" si="28"/>
        <v/>
      </c>
      <c r="AD274" s="174" t="str">
        <f t="shared" si="28"/>
        <v/>
      </c>
      <c r="AE274" s="174" t="str">
        <f t="shared" si="28"/>
        <v/>
      </c>
      <c r="AF274" s="174" t="str">
        <f t="shared" si="28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471" priority="64">
      <formula>$AH11=0</formula>
    </cfRule>
  </conditionalFormatting>
  <conditionalFormatting sqref="B8 M8 S8 AB8">
    <cfRule type="expression" dxfId="470" priority="115">
      <formula>AND(C$9&gt;=14/24,C$9&lt;20/24)</formula>
    </cfRule>
    <cfRule type="expression" dxfId="469" priority="116">
      <formula>AND(C$9&gt;=8/24,C$9&lt;14/24)</formula>
    </cfRule>
    <cfRule type="expression" dxfId="468" priority="117">
      <formula>C$9&lt;8/24</formula>
    </cfRule>
  </conditionalFormatting>
  <conditionalFormatting sqref="B54:C54">
    <cfRule type="expression" dxfId="467" priority="38">
      <formula>B$9&gt;=20/24</formula>
    </cfRule>
    <cfRule type="expression" dxfId="466" priority="39">
      <formula>AND(B$9&gt;=14/24,B$9&lt;20/24)</formula>
    </cfRule>
    <cfRule type="expression" dxfId="465" priority="40">
      <formula>AND(B$9&gt;=8/24,B$9&lt;14/24)</formula>
    </cfRule>
    <cfRule type="expression" dxfId="464" priority="41">
      <formula>B$9&lt;8/24</formula>
    </cfRule>
  </conditionalFormatting>
  <conditionalFormatting sqref="B54:C66 C61:X66">
    <cfRule type="expression" dxfId="463" priority="33">
      <formula>B54&gt;$AG54</formula>
    </cfRule>
  </conditionalFormatting>
  <conditionalFormatting sqref="B55:G59 H59:L59">
    <cfRule type="expression" dxfId="462" priority="60">
      <formula>B$9&gt;=20/24</formula>
    </cfRule>
    <cfRule type="expression" dxfId="461" priority="61">
      <formula>AND(B$9&gt;=14/24,B$9&lt;20/24)</formula>
    </cfRule>
    <cfRule type="expression" dxfId="460" priority="62">
      <formula>AND(B$9&gt;=8/24,B$9&lt;14/24)</formula>
    </cfRule>
    <cfRule type="expression" dxfId="459" priority="63">
      <formula>B$9&lt;8/24</formula>
    </cfRule>
  </conditionalFormatting>
  <conditionalFormatting sqref="B60:X60">
    <cfRule type="expression" dxfId="458" priority="51">
      <formula>B$9&gt;=20/24</formula>
    </cfRule>
    <cfRule type="expression" dxfId="457" priority="52">
      <formula>AND(B$9&gt;=14/24,B$9&lt;20/24)</formula>
    </cfRule>
    <cfRule type="expression" dxfId="456" priority="53">
      <formula>AND(B$9&gt;=8/24,B$9&lt;14/24)</formula>
    </cfRule>
    <cfRule type="expression" dxfId="455" priority="54">
      <formula>B$9&lt;8/24</formula>
    </cfRule>
  </conditionalFormatting>
  <conditionalFormatting sqref="B61:AF66">
    <cfRule type="expression" dxfId="454" priority="34">
      <formula>B$9&gt;=20/24</formula>
    </cfRule>
    <cfRule type="expression" dxfId="453" priority="35">
      <formula>AND(B$9&gt;=14/24,B$9&lt;20/24)</formula>
    </cfRule>
    <cfRule type="expression" dxfId="452" priority="36">
      <formula>AND(B$9&gt;=8/24,B$9&lt;14/24)</formula>
    </cfRule>
    <cfRule type="expression" dxfId="451" priority="37">
      <formula>B$9&lt;8/24</formula>
    </cfRule>
  </conditionalFormatting>
  <conditionalFormatting sqref="B9:AF45">
    <cfRule type="expression" dxfId="450" priority="23">
      <formula>B$9&gt;=20/24</formula>
    </cfRule>
    <cfRule type="expression" dxfId="449" priority="24">
      <formula>AND(B$9&gt;=14/24,B$9&lt;20/24)</formula>
    </cfRule>
    <cfRule type="expression" dxfId="448" priority="25">
      <formula>AND(B$9&gt;=8/24,B$9&lt;14/24)</formula>
    </cfRule>
    <cfRule type="expression" dxfId="447" priority="26">
      <formula>B$9&lt;8/24</formula>
    </cfRule>
  </conditionalFormatting>
  <conditionalFormatting sqref="B11:AF46">
    <cfRule type="expression" dxfId="446" priority="22">
      <formula>B11&gt;$AG11</formula>
    </cfRule>
  </conditionalFormatting>
  <conditionalFormatting sqref="B46:AF46">
    <cfRule type="expression" dxfId="445" priority="18">
      <formula>B$9&gt;=20/24</formula>
    </cfRule>
    <cfRule type="expression" dxfId="444" priority="19">
      <formula>AND(B$9&gt;=14/24,B$9&lt;20/24)</formula>
    </cfRule>
    <cfRule type="expression" dxfId="443" priority="20">
      <formula>AND(B$9&gt;=8/24,B$9&lt;14/24)</formula>
    </cfRule>
    <cfRule type="expression" dxfId="442" priority="21">
      <formula>B$9&lt;8/24</formula>
    </cfRule>
  </conditionalFormatting>
  <conditionalFormatting sqref="B47:AF47">
    <cfRule type="expression" dxfId="441" priority="32">
      <formula>B47&gt;$AG47</formula>
    </cfRule>
  </conditionalFormatting>
  <conditionalFormatting sqref="B47:AF49">
    <cfRule type="expression" dxfId="440" priority="28">
      <formula>B$9&gt;=20/24</formula>
    </cfRule>
    <cfRule type="expression" dxfId="439" priority="29">
      <formula>AND(B$9&gt;=14/24,B$9&lt;20/24)</formula>
    </cfRule>
    <cfRule type="expression" dxfId="438" priority="30">
      <formula>AND(B$9&gt;=8/24,B$9&lt;14/24)</formula>
    </cfRule>
    <cfRule type="expression" dxfId="437" priority="31">
      <formula>B$9&lt;8/24</formula>
    </cfRule>
  </conditionalFormatting>
  <conditionalFormatting sqref="B48:AF53">
    <cfRule type="expression" dxfId="436" priority="27">
      <formula>B48&gt;$AG48</formula>
    </cfRule>
  </conditionalFormatting>
  <conditionalFormatting sqref="B51:AF53">
    <cfRule type="expression" dxfId="435" priority="47">
      <formula>B$9&gt;=20/24</formula>
    </cfRule>
    <cfRule type="expression" dxfId="434" priority="48">
      <formula>AND(B$9&gt;=14/24,B$9&lt;20/24)</formula>
    </cfRule>
    <cfRule type="expression" dxfId="433" priority="49">
      <formula>AND(B$9&gt;=8/24,B$9&lt;14/24)</formula>
    </cfRule>
    <cfRule type="expression" dxfId="432" priority="50">
      <formula>B$9&lt;8/24</formula>
    </cfRule>
  </conditionalFormatting>
  <conditionalFormatting sqref="B69:AF71">
    <cfRule type="expression" dxfId="431" priority="55">
      <formula>B69&gt;$AG69</formula>
    </cfRule>
    <cfRule type="expression" dxfId="430" priority="56">
      <formula>B$9&gt;=20/24</formula>
    </cfRule>
    <cfRule type="expression" dxfId="429" priority="57">
      <formula>AND(B$9&gt;=14/24,B$9&lt;20/24)</formula>
    </cfRule>
    <cfRule type="expression" dxfId="428" priority="58">
      <formula>AND(B$9&gt;=8/24,B$9&lt;14/24)</formula>
    </cfRule>
    <cfRule type="expression" dxfId="427" priority="59">
      <formula>B$9&lt;8/24</formula>
    </cfRule>
  </conditionalFormatting>
  <conditionalFormatting sqref="B73:AF91">
    <cfRule type="expression" dxfId="426" priority="1">
      <formula>B$9&gt;=20/24</formula>
    </cfRule>
    <cfRule type="expression" dxfId="425" priority="2">
      <formula>AND(B$9&gt;=14/24,B$9&lt;20/24)</formula>
    </cfRule>
    <cfRule type="expression" dxfId="424" priority="3">
      <formula>AND(B$9&gt;=8/24,B$9&lt;14/24)</formula>
    </cfRule>
    <cfRule type="expression" dxfId="423" priority="4">
      <formula>B$9&lt;8/24</formula>
    </cfRule>
  </conditionalFormatting>
  <conditionalFormatting sqref="B111:AF120">
    <cfRule type="expression" dxfId="422" priority="14">
      <formula>B$9&gt;=20/24</formula>
    </cfRule>
    <cfRule type="expression" dxfId="421" priority="15">
      <formula>AND(B$9&gt;=14/24,B$9&lt;20/24)</formula>
    </cfRule>
    <cfRule type="expression" dxfId="420" priority="16">
      <formula>AND(B$9&gt;=8/24,B$9&lt;14/24)</formula>
    </cfRule>
    <cfRule type="expression" dxfId="419" priority="17">
      <formula>B$9&lt;8/24</formula>
    </cfRule>
  </conditionalFormatting>
  <conditionalFormatting sqref="B227:AF227 D229:AF230 B229:B235 D231:H231 J231:AF231 D232:AF235 U248:AF248">
    <cfRule type="expression" dxfId="418" priority="108">
      <formula>B$9&gt;=20/24</formula>
    </cfRule>
    <cfRule type="expression" dxfId="417" priority="109">
      <formula>AND(B$9&gt;=14/24,B$9&lt;20/24)</formula>
    </cfRule>
    <cfRule type="expression" dxfId="416" priority="110">
      <formula>AND(B$9&gt;=8/24,B$9&lt;14/24)</formula>
    </cfRule>
    <cfRule type="expression" dxfId="415" priority="111">
      <formula>B$9&lt;8/24</formula>
    </cfRule>
  </conditionalFormatting>
  <conditionalFormatting sqref="B67:AG68 B72:AG72">
    <cfRule type="expression" dxfId="414" priority="42">
      <formula>B67&gt;$AG67</formula>
    </cfRule>
  </conditionalFormatting>
  <conditionalFormatting sqref="B72:AG72 B93:AF109">
    <cfRule type="expression" dxfId="413" priority="43">
      <formula>B$9&gt;=20/24</formula>
    </cfRule>
    <cfRule type="expression" dxfId="412" priority="44">
      <formula>AND(B$9&gt;=14/24,B$9&lt;20/24)</formula>
    </cfRule>
    <cfRule type="expression" dxfId="411" priority="45">
      <formula>AND(B$9&gt;=8/24,B$9&lt;14/24)</formula>
    </cfRule>
    <cfRule type="expression" dxfId="410" priority="46">
      <formula>B$9&lt;8/24</formula>
    </cfRule>
  </conditionalFormatting>
  <conditionalFormatting sqref="D55:AF66">
    <cfRule type="expression" dxfId="409" priority="5">
      <formula>D55&gt;$AG55</formula>
    </cfRule>
  </conditionalFormatting>
  <conditionalFormatting sqref="D54:AG54">
    <cfRule type="expression" dxfId="408" priority="76">
      <formula>D54&gt;$AG54</formula>
    </cfRule>
    <cfRule type="expression" dxfId="407" priority="77">
      <formula>D$9&gt;=20/24</formula>
    </cfRule>
    <cfRule type="expression" dxfId="406" priority="78">
      <formula>AND(D$9&gt;=14/24,D$9&lt;20/24)</formula>
    </cfRule>
    <cfRule type="expression" dxfId="405" priority="79">
      <formula>AND(D$9&gt;=8/24,D$9&lt;14/24)</formula>
    </cfRule>
    <cfRule type="expression" dxfId="404" priority="80">
      <formula>D$9&lt;8/24</formula>
    </cfRule>
  </conditionalFormatting>
  <conditionalFormatting sqref="E55:L57">
    <cfRule type="expression" dxfId="403" priority="89">
      <formula>E$9&gt;=20/24</formula>
    </cfRule>
    <cfRule type="expression" dxfId="402" priority="90">
      <formula>AND(E$9&gt;=14/24,E$9&lt;20/24)</formula>
    </cfRule>
    <cfRule type="expression" dxfId="401" priority="91">
      <formula>AND(E$9&gt;=8/24,E$9&lt;14/24)</formula>
    </cfRule>
    <cfRule type="expression" dxfId="400" priority="92">
      <formula>E$9&lt;8/24</formula>
    </cfRule>
  </conditionalFormatting>
  <conditionalFormatting sqref="M55:X59">
    <cfRule type="expression" dxfId="399" priority="93">
      <formula>M$9&gt;=20/24</formula>
    </cfRule>
    <cfRule type="expression" dxfId="398" priority="94">
      <formula>AND(M$9&gt;=14/24,M$9&lt;20/24)</formula>
    </cfRule>
    <cfRule type="expression" dxfId="397" priority="95">
      <formula>AND(M$9&gt;=8/24,M$9&lt;14/24)</formula>
    </cfRule>
    <cfRule type="expression" dxfId="396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395" priority="114">
      <formula>C$9&gt;=20/24</formula>
    </cfRule>
  </conditionalFormatting>
  <conditionalFormatting sqref="S8">
    <cfRule type="expression" dxfId="394" priority="101">
      <formula>U$9&gt;=20/24</formula>
    </cfRule>
    <cfRule type="expression" dxfId="393" priority="102">
      <formula>AND(U$9&gt;=14/24,U$9&lt;20/24)</formula>
    </cfRule>
    <cfRule type="expression" dxfId="392" priority="103">
      <formula>AND(U$9&gt;=8/24,U$9&lt;14/24)</formula>
    </cfRule>
    <cfRule type="expression" dxfId="391" priority="104">
      <formula>U$9&lt;8/24</formula>
    </cfRule>
  </conditionalFormatting>
  <conditionalFormatting sqref="S55:AF60">
    <cfRule type="expression" dxfId="390" priority="10">
      <formula>S$9&gt;=20/24</formula>
    </cfRule>
    <cfRule type="expression" dxfId="389" priority="11">
      <formula>AND(S$9&gt;=14/24,S$9&lt;20/24)</formula>
    </cfRule>
    <cfRule type="expression" dxfId="388" priority="12">
      <formula>AND(S$9&gt;=8/24,S$9&lt;14/24)</formula>
    </cfRule>
    <cfRule type="expression" dxfId="387" priority="13">
      <formula>S$9&lt;8/24</formula>
    </cfRule>
  </conditionalFormatting>
  <conditionalFormatting sqref="T248">
    <cfRule type="expression" dxfId="386" priority="126">
      <formula>AX$9&gt;=20/24</formula>
    </cfRule>
    <cfRule type="expression" dxfId="385" priority="127">
      <formula>AND(AX$9&gt;=14/24,AX$9&lt;20/24)</formula>
    </cfRule>
    <cfRule type="expression" dxfId="384" priority="128">
      <formula>AND(AX$9&gt;=8/24,AX$9&lt;14/24)</formula>
    </cfRule>
    <cfRule type="expression" dxfId="383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82" priority="97">
      <formula>AD$9&gt;=20/24</formula>
    </cfRule>
    <cfRule type="expression" dxfId="381" priority="98">
      <formula>AND(AD$9&gt;=14/24,AD$9&lt;20/24)</formula>
    </cfRule>
    <cfRule type="expression" dxfId="380" priority="99">
      <formula>AND(AD$9&gt;=8/24,AD$9&lt;14/24)</formula>
    </cfRule>
    <cfRule type="expression" dxfId="379" priority="100">
      <formula>AD$9&lt;8/24</formula>
    </cfRule>
  </conditionalFormatting>
  <conditionalFormatting sqref="AE61:AF66">
    <cfRule type="expression" dxfId="378" priority="6">
      <formula>AE$9&gt;=20/24</formula>
    </cfRule>
    <cfRule type="expression" dxfId="377" priority="7">
      <formula>AND(AE$9&gt;=14/24,AE$9&lt;20/24)</formula>
    </cfRule>
    <cfRule type="expression" dxfId="376" priority="8">
      <formula>AND(AE$9&gt;=8/24,AE$9&lt;14/24)</formula>
    </cfRule>
    <cfRule type="expression" dxfId="375" priority="9">
      <formula>AE$9&lt;8/24</formula>
    </cfRule>
  </conditionalFormatting>
  <conditionalFormatting sqref="AG50">
    <cfRule type="expression" dxfId="374" priority="84">
      <formula>AG50&gt;$AG50</formula>
    </cfRule>
  </conditionalFormatting>
  <conditionalFormatting sqref="AG89">
    <cfRule type="expression" dxfId="373" priority="85">
      <formula>AG$9&gt;=20/24</formula>
    </cfRule>
    <cfRule type="expression" dxfId="372" priority="86">
      <formula>AND(AG$9&gt;=14/24,AG$9&lt;20/24)</formula>
    </cfRule>
    <cfRule type="expression" dxfId="371" priority="87">
      <formula>AND(AG$9&gt;=8/24,AG$9&lt;14/24)</formula>
    </cfRule>
    <cfRule type="expression" dxfId="370" priority="88">
      <formula>AG$9&lt;8/24</formula>
    </cfRule>
  </conditionalFormatting>
  <conditionalFormatting sqref="AG248">
    <cfRule type="expression" dxfId="369" priority="118">
      <formula>B$9&gt;=20/24</formula>
    </cfRule>
    <cfRule type="expression" dxfId="368" priority="119">
      <formula>AND(B$9&gt;=14/24,B$9&lt;20/24)</formula>
    </cfRule>
    <cfRule type="expression" dxfId="367" priority="120">
      <formula>AND(B$9&gt;=8/24,B$9&lt;14/24)</formula>
    </cfRule>
    <cfRule type="expression" dxfId="366" priority="121">
      <formula>B$9&lt;8/24</formula>
    </cfRule>
  </conditionalFormatting>
  <conditionalFormatting sqref="AH248:AX248">
    <cfRule type="expression" dxfId="365" priority="122">
      <formula>AG$9&gt;=20/24</formula>
    </cfRule>
    <cfRule type="expression" dxfId="364" priority="123">
      <formula>AND(AG$9&gt;=14/24,AG$9&lt;20/24)</formula>
    </cfRule>
    <cfRule type="expression" dxfId="363" priority="124">
      <formula>AND(AG$9&gt;=8/24,AG$9&lt;14/24)</formula>
    </cfRule>
    <cfRule type="expression" dxfId="362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361" priority="131">
      <formula>AJ$9&gt;=20/24</formula>
    </cfRule>
    <cfRule type="expression" dxfId="360" priority="132">
      <formula>AND(AJ$9&gt;=14/24,AJ$9&lt;20/24)</formula>
    </cfRule>
    <cfRule type="expression" dxfId="359" priority="133">
      <formula>AND(AJ$9&gt;=8/24,AJ$9&lt;14/24)</formula>
    </cfRule>
    <cfRule type="expression" dxfId="358" priority="134">
      <formula>AJ$9&lt;8/24</formula>
    </cfRule>
  </conditionalFormatting>
  <conditionalFormatting sqref="AL80:AN80 AL86:AN86">
    <cfRule type="expression" dxfId="357" priority="72">
      <formula>AL$9&gt;=20/24</formula>
    </cfRule>
    <cfRule type="expression" dxfId="356" priority="73">
      <formula>AND(AL$9&gt;=14/24,AL$9&lt;20/24)</formula>
    </cfRule>
    <cfRule type="expression" dxfId="355" priority="74">
      <formula>AND(AL$9&gt;=8/24,AL$9&lt;14/24)</formula>
    </cfRule>
    <cfRule type="expression" dxfId="354" priority="75">
      <formula>AL$9&lt;8/24</formula>
    </cfRule>
  </conditionalFormatting>
  <conditionalFormatting sqref="AN81:AN84">
    <cfRule type="expression" dxfId="353" priority="68">
      <formula>AN$9&gt;=20/24</formula>
    </cfRule>
    <cfRule type="expression" dxfId="352" priority="69">
      <formula>AND(AN$9&gt;=14/24,AN$9&lt;20/24)</formula>
    </cfRule>
    <cfRule type="expression" dxfId="351" priority="70">
      <formula>AND(AN$9&gt;=8/24,AN$9&lt;14/24)</formula>
    </cfRule>
    <cfRule type="expression" dxfId="350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1282-216C-4AC1-8D06-4EA64FADC63F}">
  <sheetPr codeName="Sheet53"/>
  <dimension ref="A1:CJ281"/>
  <sheetViews>
    <sheetView zoomScale="90" zoomScaleNormal="90" workbookViewId="0">
      <pane xSplit="1" ySplit="10" topLeftCell="B11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R80" sqref="R80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6" style="1" bestFit="1" customWidth="1"/>
    <col min="12" max="12" width="8.28515625" style="1" customWidth="1"/>
    <col min="13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2080/06/29</v>
      </c>
      <c r="C4" s="201"/>
      <c r="D4" s="201"/>
      <c r="E4" s="202" t="str">
        <f ca="1">"2080/"&amp;"06/"&amp;INT(MID(CELL("filename",G6),FIND("]",CELL("filename",G6))+1,200))</f>
        <v>2080/06/29</v>
      </c>
      <c r="F4" s="202"/>
      <c r="G4" s="202"/>
      <c r="H4" s="202" t="str">
        <f ca="1">TEXT(E4,"dddd")</f>
        <v>Saturday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10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26.8</v>
      </c>
      <c r="AB5" s="30">
        <f t="shared" si="0"/>
        <v>26.8</v>
      </c>
      <c r="AC5" s="30">
        <f t="shared" si="0"/>
        <v>26.8</v>
      </c>
      <c r="AD5" s="30">
        <f t="shared" si="0"/>
        <v>26.8</v>
      </c>
      <c r="AE5" s="30">
        <f t="shared" si="0"/>
        <v>26.8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2136MW at 8:00hr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Load=1615</v>
      </c>
      <c r="B7" s="35">
        <f t="shared" ref="B7:AF7" si="1">B91</f>
        <v>1935.74</v>
      </c>
      <c r="C7" s="35">
        <f t="shared" si="1"/>
        <v>1915.74</v>
      </c>
      <c r="D7" s="35">
        <f t="shared" si="1"/>
        <v>1885.7400000000002</v>
      </c>
      <c r="E7" s="35">
        <f t="shared" si="1"/>
        <v>1895.7399999999998</v>
      </c>
      <c r="F7" s="35">
        <f t="shared" si="1"/>
        <v>1892.7399999999998</v>
      </c>
      <c r="G7" s="35">
        <f t="shared" si="1"/>
        <v>1917.7399999999998</v>
      </c>
      <c r="H7" s="35">
        <f t="shared" si="1"/>
        <v>1917.7399999999998</v>
      </c>
      <c r="I7" s="35">
        <f t="shared" si="1"/>
        <v>1917.7399999999998</v>
      </c>
      <c r="J7" s="35">
        <f t="shared" si="1"/>
        <v>1927.04</v>
      </c>
      <c r="K7" s="35">
        <f t="shared" si="1"/>
        <v>1967.04</v>
      </c>
      <c r="L7" s="35">
        <f t="shared" si="1"/>
        <v>1992.04</v>
      </c>
      <c r="M7" s="35">
        <f t="shared" si="1"/>
        <v>2136.2399999999998</v>
      </c>
      <c r="N7" s="35">
        <f>N91</f>
        <v>2104.7399999999998</v>
      </c>
      <c r="O7" s="35">
        <f t="shared" si="1"/>
        <v>2086.4399999999996</v>
      </c>
      <c r="P7" s="35">
        <f t="shared" si="1"/>
        <v>2069.14</v>
      </c>
      <c r="Q7" s="35">
        <f t="shared" si="1"/>
        <v>2077.1400000000003</v>
      </c>
      <c r="R7" s="35">
        <f t="shared" si="1"/>
        <v>2051.14</v>
      </c>
      <c r="S7" s="35">
        <f t="shared" si="1"/>
        <v>2079.2399999999998</v>
      </c>
      <c r="T7" s="35">
        <f t="shared" si="1"/>
        <v>2049.64</v>
      </c>
      <c r="U7" s="35">
        <f t="shared" si="1"/>
        <v>2066.2399999999998</v>
      </c>
      <c r="V7" s="35">
        <f t="shared" si="1"/>
        <v>2018.94</v>
      </c>
      <c r="W7" s="35">
        <f t="shared" si="1"/>
        <v>2034.44</v>
      </c>
      <c r="X7" s="35">
        <f t="shared" si="1"/>
        <v>2118.34</v>
      </c>
      <c r="Y7" s="35">
        <f t="shared" si="1"/>
        <v>2093.04</v>
      </c>
      <c r="Z7" s="35">
        <f t="shared" si="1"/>
        <v>2050.9399999999996</v>
      </c>
      <c r="AA7" s="35">
        <f t="shared" si="1"/>
        <v>2034.3399999999997</v>
      </c>
      <c r="AB7" s="35">
        <f t="shared" si="1"/>
        <v>1975.1399999999999</v>
      </c>
      <c r="AC7" s="35">
        <f t="shared" si="1"/>
        <v>1975.1399999999999</v>
      </c>
      <c r="AD7" s="35">
        <f t="shared" si="1"/>
        <v>1909.9399999999998</v>
      </c>
      <c r="AE7" s="35">
        <f t="shared" si="1"/>
        <v>1768.74</v>
      </c>
      <c r="AF7" s="35">
        <f t="shared" si="1"/>
        <v>1615.34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0</v>
      </c>
      <c r="C11" s="45">
        <v>0</v>
      </c>
      <c r="D11" s="45">
        <v>30</v>
      </c>
      <c r="E11" s="45">
        <v>70</v>
      </c>
      <c r="F11" s="45">
        <v>87</v>
      </c>
      <c r="G11" s="45">
        <v>87</v>
      </c>
      <c r="H11" s="45">
        <v>87</v>
      </c>
      <c r="I11" s="45">
        <v>87</v>
      </c>
      <c r="J11" s="45">
        <v>87</v>
      </c>
      <c r="K11" s="45">
        <v>87</v>
      </c>
      <c r="L11" s="45">
        <v>87</v>
      </c>
      <c r="M11" s="45">
        <v>90.4</v>
      </c>
      <c r="N11" s="45">
        <v>90.4</v>
      </c>
      <c r="O11" s="45">
        <v>90.4</v>
      </c>
      <c r="P11" s="45">
        <v>90.4</v>
      </c>
      <c r="Q11" s="45">
        <v>90.4</v>
      </c>
      <c r="R11" s="45">
        <v>90.4</v>
      </c>
      <c r="S11" s="45">
        <v>90.4</v>
      </c>
      <c r="T11" s="45">
        <v>90.4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>
        <v>90.4</v>
      </c>
      <c r="AB11" s="45">
        <v>90.4</v>
      </c>
      <c r="AC11" s="45">
        <v>90.4</v>
      </c>
      <c r="AD11" s="45">
        <v>90.4</v>
      </c>
      <c r="AE11" s="45">
        <v>90.4</v>
      </c>
      <c r="AF11" s="45">
        <v>90.4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8</v>
      </c>
      <c r="C12" s="45">
        <v>8</v>
      </c>
      <c r="D12" s="45">
        <v>8</v>
      </c>
      <c r="E12" s="45">
        <v>8</v>
      </c>
      <c r="F12" s="45">
        <v>8</v>
      </c>
      <c r="G12" s="45">
        <v>8</v>
      </c>
      <c r="H12" s="45">
        <v>8</v>
      </c>
      <c r="I12" s="45">
        <v>8</v>
      </c>
      <c r="J12" s="45">
        <v>8</v>
      </c>
      <c r="K12" s="45">
        <v>8</v>
      </c>
      <c r="L12" s="45">
        <v>8</v>
      </c>
      <c r="M12" s="45">
        <v>13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>
        <v>13</v>
      </c>
      <c r="AB12" s="45">
        <v>13</v>
      </c>
      <c r="AC12" s="45">
        <v>13</v>
      </c>
      <c r="AD12" s="45">
        <v>13</v>
      </c>
      <c r="AE12" s="45">
        <v>13</v>
      </c>
      <c r="AF12" s="45">
        <v>13</v>
      </c>
      <c r="AG12" s="49">
        <v>54</v>
      </c>
      <c r="AH12" s="47">
        <f t="shared" si="2"/>
        <v>13</v>
      </c>
      <c r="AI12" s="48">
        <f t="shared" si="3"/>
        <v>8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54.2</v>
      </c>
      <c r="C13" s="45">
        <v>54.2</v>
      </c>
      <c r="D13" s="45">
        <v>54.2</v>
      </c>
      <c r="E13" s="45">
        <v>54.2</v>
      </c>
      <c r="F13" s="45">
        <v>54.2</v>
      </c>
      <c r="G13" s="45">
        <v>54.2</v>
      </c>
      <c r="H13" s="45">
        <v>54.2</v>
      </c>
      <c r="I13" s="45">
        <v>54.2</v>
      </c>
      <c r="J13" s="45">
        <v>54.2</v>
      </c>
      <c r="K13" s="45">
        <v>54.2</v>
      </c>
      <c r="L13" s="45">
        <v>54.2</v>
      </c>
      <c r="M13" s="45">
        <v>54.2</v>
      </c>
      <c r="N13" s="45">
        <v>54.2</v>
      </c>
      <c r="O13" s="45">
        <v>54.2</v>
      </c>
      <c r="P13" s="45">
        <v>54.2</v>
      </c>
      <c r="Q13" s="45">
        <v>54.2</v>
      </c>
      <c r="R13" s="45">
        <v>54.1</v>
      </c>
      <c r="S13" s="45">
        <v>54.1</v>
      </c>
      <c r="T13" s="45">
        <v>54.1</v>
      </c>
      <c r="U13" s="45">
        <v>54.1</v>
      </c>
      <c r="V13" s="45">
        <v>54.1</v>
      </c>
      <c r="W13" s="45">
        <v>54.1</v>
      </c>
      <c r="X13" s="45">
        <v>54.1</v>
      </c>
      <c r="Y13" s="45">
        <v>54.1</v>
      </c>
      <c r="Z13" s="45">
        <v>54.1</v>
      </c>
      <c r="AA13" s="45">
        <v>54.1</v>
      </c>
      <c r="AB13" s="45">
        <v>54.1</v>
      </c>
      <c r="AC13" s="45">
        <v>54.1</v>
      </c>
      <c r="AD13" s="45">
        <v>54.1</v>
      </c>
      <c r="AE13" s="45">
        <v>54.1</v>
      </c>
      <c r="AF13" s="45">
        <v>54.1</v>
      </c>
      <c r="AG13" s="46">
        <v>52.4</v>
      </c>
      <c r="AH13" s="47">
        <f t="shared" si="2"/>
        <v>54.2</v>
      </c>
      <c r="AI13" s="48">
        <f t="shared" si="3"/>
        <v>54.1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50.6</v>
      </c>
      <c r="C14" s="58">
        <v>50.6</v>
      </c>
      <c r="D14" s="58">
        <v>50.6</v>
      </c>
      <c r="E14" s="58">
        <v>50.6</v>
      </c>
      <c r="F14" s="58">
        <v>50.6</v>
      </c>
      <c r="G14" s="58">
        <v>50.6</v>
      </c>
      <c r="H14" s="58">
        <v>50.6</v>
      </c>
      <c r="I14" s="58">
        <v>50.6</v>
      </c>
      <c r="J14" s="58">
        <v>50.6</v>
      </c>
      <c r="K14" s="58">
        <v>50.6</v>
      </c>
      <c r="L14" s="58">
        <v>50.6</v>
      </c>
      <c r="M14" s="58">
        <v>50.7</v>
      </c>
      <c r="N14" s="58">
        <v>50.7</v>
      </c>
      <c r="O14" s="58">
        <v>50.7</v>
      </c>
      <c r="P14" s="58">
        <v>50.7</v>
      </c>
      <c r="Q14" s="58">
        <v>50.7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58">
        <v>50.4</v>
      </c>
      <c r="AB14" s="58">
        <v>50.4</v>
      </c>
      <c r="AC14" s="58">
        <v>50.4</v>
      </c>
      <c r="AD14" s="58">
        <v>50.4</v>
      </c>
      <c r="AE14" s="58">
        <v>50.4</v>
      </c>
      <c r="AF14" s="58">
        <v>50.4</v>
      </c>
      <c r="AG14" s="49">
        <v>50</v>
      </c>
      <c r="AH14" s="47">
        <f t="shared" si="2"/>
        <v>50.7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46.3</v>
      </c>
      <c r="C15" s="45">
        <v>46.3</v>
      </c>
      <c r="D15" s="45">
        <v>46.3</v>
      </c>
      <c r="E15" s="45">
        <v>46.3</v>
      </c>
      <c r="F15" s="45">
        <v>46.3</v>
      </c>
      <c r="G15" s="45">
        <v>46.3</v>
      </c>
      <c r="H15" s="45">
        <v>46.3</v>
      </c>
      <c r="I15" s="45">
        <v>46.3</v>
      </c>
      <c r="J15" s="45">
        <v>46.3</v>
      </c>
      <c r="K15" s="45">
        <v>46.3</v>
      </c>
      <c r="L15" s="45">
        <v>46.3</v>
      </c>
      <c r="M15" s="45">
        <v>46.3</v>
      </c>
      <c r="N15" s="45">
        <v>46.3</v>
      </c>
      <c r="O15" s="45">
        <v>46.3</v>
      </c>
      <c r="P15" s="45">
        <v>46.3</v>
      </c>
      <c r="Q15" s="45">
        <v>46.3</v>
      </c>
      <c r="R15" s="45">
        <v>46.5</v>
      </c>
      <c r="S15" s="45">
        <v>46.5</v>
      </c>
      <c r="T15" s="45">
        <v>46.5</v>
      </c>
      <c r="U15" s="45">
        <v>46.5</v>
      </c>
      <c r="V15" s="45">
        <v>46.5</v>
      </c>
      <c r="W15" s="45">
        <v>46.5</v>
      </c>
      <c r="X15" s="45">
        <v>46.5</v>
      </c>
      <c r="Y15" s="45">
        <v>46.5</v>
      </c>
      <c r="Z15" s="45">
        <v>46.5</v>
      </c>
      <c r="AA15" s="45">
        <v>46.5</v>
      </c>
      <c r="AB15" s="45">
        <v>46.5</v>
      </c>
      <c r="AC15" s="45">
        <v>46.5</v>
      </c>
      <c r="AD15" s="45">
        <v>46.5</v>
      </c>
      <c r="AE15" s="45">
        <v>46.5</v>
      </c>
      <c r="AF15" s="45">
        <v>46.5</v>
      </c>
      <c r="AG15" s="49">
        <v>45</v>
      </c>
      <c r="AH15" s="47">
        <f t="shared" si="2"/>
        <v>46.5</v>
      </c>
      <c r="AI15" s="48">
        <f t="shared" si="3"/>
        <v>46.3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44</v>
      </c>
      <c r="C16" s="45">
        <v>44</v>
      </c>
      <c r="D16" s="45">
        <v>44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44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>
        <v>44</v>
      </c>
      <c r="AB16" s="45">
        <v>44</v>
      </c>
      <c r="AC16" s="45">
        <v>44</v>
      </c>
      <c r="AD16" s="45">
        <v>35</v>
      </c>
      <c r="AE16" s="45">
        <v>20</v>
      </c>
      <c r="AF16" s="45">
        <v>0</v>
      </c>
      <c r="AG16" s="49">
        <v>44</v>
      </c>
      <c r="AH16" s="47">
        <f>MAX(B16:AG16)</f>
        <v>44</v>
      </c>
      <c r="AI16" s="48">
        <f>MIN(B16:AG16)</f>
        <v>0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28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36</v>
      </c>
      <c r="N17" s="45">
        <v>41</v>
      </c>
      <c r="O17" s="45">
        <v>36</v>
      </c>
      <c r="P17" s="45">
        <v>36</v>
      </c>
      <c r="Q17" s="45">
        <v>36</v>
      </c>
      <c r="R17" s="45">
        <v>31</v>
      </c>
      <c r="S17" s="45">
        <v>36</v>
      </c>
      <c r="T17" s="45">
        <v>33</v>
      </c>
      <c r="U17" s="45">
        <v>33</v>
      </c>
      <c r="V17" s="45">
        <v>33</v>
      </c>
      <c r="W17" s="45">
        <v>33</v>
      </c>
      <c r="X17" s="45">
        <v>33</v>
      </c>
      <c r="Y17" s="45">
        <v>29</v>
      </c>
      <c r="Z17" s="45">
        <v>27</v>
      </c>
      <c r="AA17" s="45">
        <v>27</v>
      </c>
      <c r="AB17" s="45">
        <v>27</v>
      </c>
      <c r="AC17" s="45">
        <v>27</v>
      </c>
      <c r="AD17" s="45">
        <v>23</v>
      </c>
      <c r="AE17" s="45">
        <v>20</v>
      </c>
      <c r="AF17" s="45">
        <v>0</v>
      </c>
      <c r="AG17" s="49">
        <v>42</v>
      </c>
      <c r="AH17" s="47">
        <f t="shared" si="2"/>
        <v>41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27</v>
      </c>
      <c r="C18" s="45">
        <v>27</v>
      </c>
      <c r="D18" s="45">
        <v>27</v>
      </c>
      <c r="E18" s="45">
        <v>27</v>
      </c>
      <c r="F18" s="45">
        <v>27</v>
      </c>
      <c r="G18" s="45">
        <v>27</v>
      </c>
      <c r="H18" s="45">
        <v>27</v>
      </c>
      <c r="I18" s="45">
        <v>27</v>
      </c>
      <c r="J18" s="45">
        <v>27</v>
      </c>
      <c r="K18" s="45">
        <v>27</v>
      </c>
      <c r="L18" s="45">
        <v>27</v>
      </c>
      <c r="M18" s="45">
        <v>27</v>
      </c>
      <c r="N18" s="45">
        <v>27</v>
      </c>
      <c r="O18" s="45">
        <v>27</v>
      </c>
      <c r="P18" s="45">
        <v>27</v>
      </c>
      <c r="Q18" s="45">
        <v>27</v>
      </c>
      <c r="R18" s="45">
        <v>27</v>
      </c>
      <c r="S18" s="45">
        <v>27</v>
      </c>
      <c r="T18" s="45">
        <v>27</v>
      </c>
      <c r="U18" s="45">
        <v>27</v>
      </c>
      <c r="V18" s="45">
        <v>0</v>
      </c>
      <c r="W18" s="45">
        <v>27</v>
      </c>
      <c r="X18" s="45">
        <v>27</v>
      </c>
      <c r="Y18" s="45">
        <v>27</v>
      </c>
      <c r="Z18" s="45">
        <v>27</v>
      </c>
      <c r="AA18" s="45">
        <v>27</v>
      </c>
      <c r="AB18" s="45">
        <v>27</v>
      </c>
      <c r="AC18" s="45">
        <v>27</v>
      </c>
      <c r="AD18" s="45">
        <v>27</v>
      </c>
      <c r="AE18" s="45">
        <v>27</v>
      </c>
      <c r="AF18" s="45">
        <v>27</v>
      </c>
      <c r="AG18" s="49">
        <v>38.46</v>
      </c>
      <c r="AH18" s="47">
        <f t="shared" si="2"/>
        <v>27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>
        <v>24</v>
      </c>
      <c r="AB19" s="45">
        <v>24</v>
      </c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5.7</v>
      </c>
      <c r="C20" s="45">
        <v>5.7</v>
      </c>
      <c r="D20" s="45">
        <v>5.7</v>
      </c>
      <c r="E20" s="45">
        <v>5.7</v>
      </c>
      <c r="F20" s="45">
        <v>5.7</v>
      </c>
      <c r="G20" s="45">
        <v>5.7</v>
      </c>
      <c r="H20" s="45">
        <v>5.7</v>
      </c>
      <c r="I20" s="45">
        <v>5.7</v>
      </c>
      <c r="J20" s="45">
        <v>15</v>
      </c>
      <c r="K20" s="45">
        <v>15</v>
      </c>
      <c r="L20" s="45">
        <v>15</v>
      </c>
      <c r="M20" s="45">
        <v>30</v>
      </c>
      <c r="N20" s="45">
        <v>30</v>
      </c>
      <c r="O20" s="45">
        <v>30</v>
      </c>
      <c r="P20" s="45">
        <v>27</v>
      </c>
      <c r="Q20" s="45">
        <v>27</v>
      </c>
      <c r="R20" s="45">
        <v>18</v>
      </c>
      <c r="S20" s="45">
        <v>25</v>
      </c>
      <c r="T20" s="45">
        <v>25</v>
      </c>
      <c r="U20" s="45">
        <v>30.2</v>
      </c>
      <c r="V20" s="45">
        <v>30.2</v>
      </c>
      <c r="W20" s="45">
        <v>30.2</v>
      </c>
      <c r="X20" s="45">
        <v>30.2</v>
      </c>
      <c r="Y20" s="45">
        <v>30.2</v>
      </c>
      <c r="Z20" s="45">
        <v>30.2</v>
      </c>
      <c r="AA20" s="45">
        <v>25</v>
      </c>
      <c r="AB20" s="45">
        <v>25</v>
      </c>
      <c r="AC20" s="45">
        <v>25</v>
      </c>
      <c r="AD20" s="45">
        <v>15</v>
      </c>
      <c r="AE20" s="45">
        <v>5</v>
      </c>
      <c r="AF20" s="45">
        <v>5</v>
      </c>
      <c r="AG20" s="51">
        <v>30</v>
      </c>
      <c r="AH20" s="47">
        <f t="shared" si="2"/>
        <v>30.2</v>
      </c>
      <c r="AI20" s="48">
        <f t="shared" si="3"/>
        <v>5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33.4</v>
      </c>
      <c r="C21" s="45">
        <v>33.4</v>
      </c>
      <c r="D21" s="45">
        <v>33.4</v>
      </c>
      <c r="E21" s="45">
        <v>33.4</v>
      </c>
      <c r="F21" s="45">
        <v>33.4</v>
      </c>
      <c r="G21" s="45">
        <v>33.4</v>
      </c>
      <c r="H21" s="45">
        <v>33.4</v>
      </c>
      <c r="I21" s="45">
        <v>33.4</v>
      </c>
      <c r="J21" s="45">
        <v>33.4</v>
      </c>
      <c r="K21" s="45">
        <v>33.4</v>
      </c>
      <c r="L21" s="45">
        <v>33.4</v>
      </c>
      <c r="M21" s="45">
        <v>32.4</v>
      </c>
      <c r="N21" s="45">
        <v>32.4</v>
      </c>
      <c r="O21" s="45">
        <v>32.4</v>
      </c>
      <c r="P21" s="45">
        <v>32.4</v>
      </c>
      <c r="Q21" s="45">
        <v>32.4</v>
      </c>
      <c r="R21" s="45">
        <v>32.4</v>
      </c>
      <c r="S21" s="45">
        <v>32.4</v>
      </c>
      <c r="T21" s="45">
        <v>32.4</v>
      </c>
      <c r="U21" s="45">
        <v>32.4</v>
      </c>
      <c r="V21" s="45">
        <v>32.4</v>
      </c>
      <c r="W21" s="45">
        <v>32.4</v>
      </c>
      <c r="X21" s="45">
        <v>32.4</v>
      </c>
      <c r="Y21" s="45">
        <v>32.4</v>
      </c>
      <c r="Z21" s="45">
        <v>32.4</v>
      </c>
      <c r="AA21" s="45">
        <v>32.4</v>
      </c>
      <c r="AB21" s="45">
        <v>32.4</v>
      </c>
      <c r="AC21" s="45">
        <v>32.4</v>
      </c>
      <c r="AD21" s="45">
        <v>32.4</v>
      </c>
      <c r="AE21" s="45">
        <v>32.4</v>
      </c>
      <c r="AF21" s="45">
        <v>32.4</v>
      </c>
      <c r="AG21" s="49">
        <v>24.2</v>
      </c>
      <c r="AH21" s="47">
        <f t="shared" si="2"/>
        <v>33.4</v>
      </c>
      <c r="AI21" s="48">
        <f t="shared" si="3"/>
        <v>32.4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>
        <v>28</v>
      </c>
      <c r="D22" s="45">
        <v>28</v>
      </c>
      <c r="E22" s="45">
        <v>28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>
        <v>28</v>
      </c>
      <c r="AB22" s="45">
        <v>28</v>
      </c>
      <c r="AC22" s="45">
        <v>28</v>
      </c>
      <c r="AD22" s="45">
        <v>28</v>
      </c>
      <c r="AE22" s="45">
        <v>28</v>
      </c>
      <c r="AF22" s="45">
        <v>28</v>
      </c>
      <c r="AG22" s="49">
        <v>28</v>
      </c>
      <c r="AH22" s="47">
        <f t="shared" si="2"/>
        <v>28</v>
      </c>
      <c r="AI22" s="48">
        <f t="shared" si="3"/>
        <v>28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4</v>
      </c>
      <c r="C23" s="45">
        <v>4</v>
      </c>
      <c r="D23" s="45">
        <v>4</v>
      </c>
      <c r="E23" s="45">
        <v>4</v>
      </c>
      <c r="F23" s="45">
        <v>4</v>
      </c>
      <c r="G23" s="45">
        <v>4</v>
      </c>
      <c r="H23" s="45">
        <v>4</v>
      </c>
      <c r="I23" s="45">
        <v>4</v>
      </c>
      <c r="J23" s="45">
        <v>4</v>
      </c>
      <c r="K23" s="45">
        <v>4</v>
      </c>
      <c r="L23" s="45">
        <v>4</v>
      </c>
      <c r="M23" s="45">
        <v>27</v>
      </c>
      <c r="N23" s="45">
        <v>27</v>
      </c>
      <c r="O23" s="45">
        <v>27</v>
      </c>
      <c r="P23" s="45">
        <f>0.9*27</f>
        <v>24.3</v>
      </c>
      <c r="Q23" s="45">
        <f>0.8*27</f>
        <v>21.6</v>
      </c>
      <c r="R23" s="45">
        <v>17</v>
      </c>
      <c r="S23" s="45">
        <v>22.5</v>
      </c>
      <c r="T23" s="45">
        <v>22.5</v>
      </c>
      <c r="U23" s="45">
        <v>27.8</v>
      </c>
      <c r="V23" s="45">
        <v>27.8</v>
      </c>
      <c r="W23" s="45">
        <v>27.8</v>
      </c>
      <c r="X23" s="45">
        <v>27.8</v>
      </c>
      <c r="Y23" s="45">
        <v>27.8</v>
      </c>
      <c r="Z23" s="45">
        <v>27.8</v>
      </c>
      <c r="AA23" s="45">
        <v>22.5</v>
      </c>
      <c r="AB23" s="45">
        <v>22.5</v>
      </c>
      <c r="AC23" s="45">
        <v>22.5</v>
      </c>
      <c r="AD23" s="45">
        <v>13</v>
      </c>
      <c r="AE23" s="45">
        <v>5</v>
      </c>
      <c r="AF23" s="45">
        <v>5</v>
      </c>
      <c r="AG23" s="51">
        <v>30</v>
      </c>
      <c r="AH23" s="47">
        <f t="shared" si="2"/>
        <v>27.8</v>
      </c>
      <c r="AI23" s="48">
        <f t="shared" si="3"/>
        <v>4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26.2</v>
      </c>
      <c r="C24" s="45">
        <v>26.2</v>
      </c>
      <c r="D24" s="45">
        <v>26.2</v>
      </c>
      <c r="E24" s="45">
        <v>26.2</v>
      </c>
      <c r="F24" s="45">
        <v>26.2</v>
      </c>
      <c r="G24" s="45">
        <v>26.2</v>
      </c>
      <c r="H24" s="45">
        <v>26.2</v>
      </c>
      <c r="I24" s="45">
        <v>26.2</v>
      </c>
      <c r="J24" s="45">
        <v>26.2</v>
      </c>
      <c r="K24" s="45">
        <v>26.2</v>
      </c>
      <c r="L24" s="45">
        <v>26.2</v>
      </c>
      <c r="M24" s="45">
        <v>26</v>
      </c>
      <c r="N24" s="45">
        <v>26</v>
      </c>
      <c r="O24" s="45">
        <v>26</v>
      </c>
      <c r="P24" s="45">
        <v>26</v>
      </c>
      <c r="Q24" s="45">
        <v>26</v>
      </c>
      <c r="R24" s="45">
        <v>24.4</v>
      </c>
      <c r="S24" s="45">
        <v>24.4</v>
      </c>
      <c r="T24" s="45">
        <v>24.4</v>
      </c>
      <c r="U24" s="45">
        <v>24.4</v>
      </c>
      <c r="V24" s="45">
        <v>24.4</v>
      </c>
      <c r="W24" s="45">
        <v>24.4</v>
      </c>
      <c r="X24" s="45">
        <v>24.4</v>
      </c>
      <c r="Y24" s="45">
        <v>24.4</v>
      </c>
      <c r="Z24" s="45">
        <v>24.4</v>
      </c>
      <c r="AA24" s="45">
        <v>24.4</v>
      </c>
      <c r="AB24" s="45">
        <v>24.4</v>
      </c>
      <c r="AC24" s="45">
        <v>24.4</v>
      </c>
      <c r="AD24" s="45">
        <v>24.4</v>
      </c>
      <c r="AE24" s="45">
        <v>11.7</v>
      </c>
      <c r="AF24" s="45">
        <v>0</v>
      </c>
      <c r="AG24" s="49">
        <v>25</v>
      </c>
      <c r="AH24" s="47">
        <f t="shared" si="2"/>
        <v>26.2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>
        <v>25</v>
      </c>
      <c r="AB26" s="45">
        <v>25</v>
      </c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3</v>
      </c>
      <c r="C27" s="45">
        <v>3</v>
      </c>
      <c r="D27" s="45">
        <v>3</v>
      </c>
      <c r="E27" s="45">
        <v>3</v>
      </c>
      <c r="F27" s="45">
        <v>3</v>
      </c>
      <c r="G27" s="45">
        <v>3</v>
      </c>
      <c r="H27" s="45">
        <v>3</v>
      </c>
      <c r="I27" s="45">
        <v>3</v>
      </c>
      <c r="J27" s="45">
        <v>3</v>
      </c>
      <c r="K27" s="45">
        <v>3</v>
      </c>
      <c r="L27" s="45">
        <v>3</v>
      </c>
      <c r="M27" s="45">
        <v>25</v>
      </c>
      <c r="N27" s="45">
        <v>25</v>
      </c>
      <c r="O27" s="45">
        <v>25</v>
      </c>
      <c r="P27" s="45">
        <f>0.9*25</f>
        <v>22.5</v>
      </c>
      <c r="Q27" s="45">
        <v>20</v>
      </c>
      <c r="R27" s="45">
        <f>25*0.6</f>
        <v>15</v>
      </c>
      <c r="S27" s="45">
        <v>21</v>
      </c>
      <c r="T27" s="45">
        <v>21</v>
      </c>
      <c r="U27" s="45">
        <v>25</v>
      </c>
      <c r="V27" s="45">
        <v>25</v>
      </c>
      <c r="W27" s="45">
        <v>25</v>
      </c>
      <c r="X27" s="45">
        <v>25</v>
      </c>
      <c r="Y27" s="45">
        <v>25</v>
      </c>
      <c r="Z27" s="45">
        <v>25</v>
      </c>
      <c r="AA27" s="45">
        <v>21</v>
      </c>
      <c r="AB27" s="45">
        <v>21</v>
      </c>
      <c r="AC27" s="45">
        <v>21</v>
      </c>
      <c r="AD27" s="45">
        <v>21</v>
      </c>
      <c r="AE27" s="45">
        <v>5</v>
      </c>
      <c r="AF27" s="45">
        <v>5</v>
      </c>
      <c r="AG27" s="49">
        <v>25</v>
      </c>
      <c r="AH27" s="47">
        <f t="shared" si="2"/>
        <v>25</v>
      </c>
      <c r="AI27" s="48">
        <f t="shared" si="3"/>
        <v>3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25.5</v>
      </c>
      <c r="C28" s="45">
        <v>25.5</v>
      </c>
      <c r="D28" s="45">
        <v>25.5</v>
      </c>
      <c r="E28" s="45">
        <v>25.5</v>
      </c>
      <c r="F28" s="45">
        <v>25.5</v>
      </c>
      <c r="G28" s="45">
        <v>25.5</v>
      </c>
      <c r="H28" s="45">
        <v>25.5</v>
      </c>
      <c r="I28" s="45">
        <v>25.5</v>
      </c>
      <c r="J28" s="45">
        <v>25.5</v>
      </c>
      <c r="K28" s="45">
        <v>25.5</v>
      </c>
      <c r="L28" s="45">
        <v>25.5</v>
      </c>
      <c r="M28" s="45">
        <v>25.4</v>
      </c>
      <c r="N28" s="45">
        <v>25.4</v>
      </c>
      <c r="O28" s="45">
        <v>25.4</v>
      </c>
      <c r="P28" s="45">
        <v>25.4</v>
      </c>
      <c r="Q28" s="45">
        <v>25.4</v>
      </c>
      <c r="R28" s="45">
        <v>25.4</v>
      </c>
      <c r="S28" s="45">
        <v>25.4</v>
      </c>
      <c r="T28" s="45">
        <v>25.4</v>
      </c>
      <c r="U28" s="45">
        <v>25.4</v>
      </c>
      <c r="V28" s="45">
        <v>25.4</v>
      </c>
      <c r="W28" s="45">
        <v>25.4</v>
      </c>
      <c r="X28" s="45">
        <v>25.4</v>
      </c>
      <c r="Y28" s="45">
        <v>25.4</v>
      </c>
      <c r="Z28" s="45">
        <v>25.4</v>
      </c>
      <c r="AA28" s="45">
        <v>25.4</v>
      </c>
      <c r="AB28" s="45">
        <v>25.4</v>
      </c>
      <c r="AC28" s="45">
        <v>25.4</v>
      </c>
      <c r="AD28" s="45">
        <v>25.4</v>
      </c>
      <c r="AE28" s="45">
        <v>25.4</v>
      </c>
      <c r="AF28" s="45">
        <v>25.4</v>
      </c>
      <c r="AG28" s="49">
        <v>23.5</v>
      </c>
      <c r="AH28" s="47">
        <f t="shared" si="2"/>
        <v>25.5</v>
      </c>
      <c r="AI28" s="48">
        <f t="shared" si="3"/>
        <v>25.4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>
        <v>11</v>
      </c>
      <c r="AB29" s="45">
        <v>11</v>
      </c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>
        <v>22</v>
      </c>
      <c r="AB30" s="45">
        <v>22</v>
      </c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>
        <v>22</v>
      </c>
      <c r="AB31" s="45">
        <v>22</v>
      </c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>
        <v>22</v>
      </c>
      <c r="AB32" s="45">
        <v>22</v>
      </c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5</v>
      </c>
      <c r="C33" s="45">
        <v>5</v>
      </c>
      <c r="D33" s="45">
        <v>5</v>
      </c>
      <c r="E33" s="45">
        <v>5</v>
      </c>
      <c r="F33" s="45">
        <v>5</v>
      </c>
      <c r="G33" s="45">
        <v>5</v>
      </c>
      <c r="H33" s="45">
        <v>5</v>
      </c>
      <c r="I33" s="45">
        <v>5</v>
      </c>
      <c r="J33" s="45">
        <v>5</v>
      </c>
      <c r="K33" s="45">
        <v>5</v>
      </c>
      <c r="L33" s="45">
        <v>5</v>
      </c>
      <c r="M33" s="45">
        <v>20</v>
      </c>
      <c r="N33" s="45">
        <v>20</v>
      </c>
      <c r="O33" s="45">
        <v>5</v>
      </c>
      <c r="P33" s="45">
        <v>5</v>
      </c>
      <c r="Q33" s="45">
        <v>5</v>
      </c>
      <c r="R33" s="45">
        <v>5</v>
      </c>
      <c r="S33" s="45">
        <v>10</v>
      </c>
      <c r="T33" s="45">
        <v>7</v>
      </c>
      <c r="U33" s="45">
        <v>7</v>
      </c>
      <c r="V33" s="45">
        <v>7</v>
      </c>
      <c r="W33" s="45">
        <v>5</v>
      </c>
      <c r="X33" s="45">
        <v>5</v>
      </c>
      <c r="Y33" s="45">
        <v>5</v>
      </c>
      <c r="Z33" s="45">
        <v>0</v>
      </c>
      <c r="AA33" s="45">
        <v>0</v>
      </c>
      <c r="AB33" s="45">
        <v>0</v>
      </c>
      <c r="AC33" s="45">
        <v>0</v>
      </c>
      <c r="AD33" s="45">
        <v>0</v>
      </c>
      <c r="AE33" s="45">
        <v>0</v>
      </c>
      <c r="AF33" s="45">
        <v>0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5</v>
      </c>
      <c r="C34" s="45">
        <v>5</v>
      </c>
      <c r="D34" s="45">
        <v>5</v>
      </c>
      <c r="E34" s="45">
        <v>5</v>
      </c>
      <c r="F34" s="45">
        <v>5</v>
      </c>
      <c r="G34" s="45">
        <v>5</v>
      </c>
      <c r="H34" s="45">
        <v>5</v>
      </c>
      <c r="I34" s="45">
        <v>5</v>
      </c>
      <c r="J34" s="45">
        <v>5</v>
      </c>
      <c r="K34" s="45">
        <v>5</v>
      </c>
      <c r="L34" s="45">
        <v>5</v>
      </c>
      <c r="M34" s="45">
        <v>13</v>
      </c>
      <c r="N34" s="45">
        <v>13</v>
      </c>
      <c r="O34" s="45">
        <v>3.5</v>
      </c>
      <c r="P34" s="45">
        <v>3.5</v>
      </c>
      <c r="Q34" s="45">
        <v>3.5</v>
      </c>
      <c r="R34" s="45">
        <v>3.5</v>
      </c>
      <c r="S34" s="45">
        <v>8</v>
      </c>
      <c r="T34" s="45">
        <v>6</v>
      </c>
      <c r="U34" s="45">
        <v>6</v>
      </c>
      <c r="V34" s="45">
        <v>6</v>
      </c>
      <c r="W34" s="45">
        <v>4</v>
      </c>
      <c r="X34" s="45">
        <v>4</v>
      </c>
      <c r="Y34" s="45">
        <v>4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0</v>
      </c>
      <c r="AG34" s="49">
        <v>18</v>
      </c>
      <c r="AH34" s="47">
        <f t="shared" si="2"/>
        <v>13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13</v>
      </c>
      <c r="C35" s="45">
        <v>13</v>
      </c>
      <c r="D35" s="45">
        <v>13</v>
      </c>
      <c r="E35" s="45">
        <v>13</v>
      </c>
      <c r="F35" s="45">
        <v>13</v>
      </c>
      <c r="G35" s="45">
        <v>13</v>
      </c>
      <c r="H35" s="45">
        <v>13</v>
      </c>
      <c r="I35" s="45">
        <v>13</v>
      </c>
      <c r="J35" s="45">
        <v>13</v>
      </c>
      <c r="K35" s="45">
        <v>13</v>
      </c>
      <c r="L35" s="45">
        <v>13</v>
      </c>
      <c r="M35" s="45">
        <v>15.3</v>
      </c>
      <c r="N35" s="45">
        <v>15.3</v>
      </c>
      <c r="O35" s="45">
        <v>15.3</v>
      </c>
      <c r="P35" s="45">
        <v>15.3</v>
      </c>
      <c r="Q35" s="45">
        <v>15.3</v>
      </c>
      <c r="R35" s="45">
        <v>15.3</v>
      </c>
      <c r="S35" s="45">
        <v>15.3</v>
      </c>
      <c r="T35" s="45">
        <v>15.3</v>
      </c>
      <c r="U35" s="45">
        <v>15.3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9">
        <v>14.9</v>
      </c>
      <c r="AH35" s="47">
        <f t="shared" si="2"/>
        <v>15.3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>
        <v>6.5</v>
      </c>
      <c r="AB37" s="45">
        <v>6.5</v>
      </c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>
        <v>12</v>
      </c>
      <c r="AB38" s="45">
        <v>12</v>
      </c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2</v>
      </c>
      <c r="C39" s="45">
        <v>2</v>
      </c>
      <c r="D39" s="45">
        <v>2</v>
      </c>
      <c r="E39" s="45">
        <v>2</v>
      </c>
      <c r="F39" s="45">
        <v>2</v>
      </c>
      <c r="G39" s="45">
        <v>2</v>
      </c>
      <c r="H39" s="45">
        <v>2</v>
      </c>
      <c r="I39" s="45">
        <v>2</v>
      </c>
      <c r="J39" s="45">
        <v>2</v>
      </c>
      <c r="K39" s="45">
        <v>2</v>
      </c>
      <c r="L39" s="45">
        <v>2</v>
      </c>
      <c r="M39" s="45">
        <v>10</v>
      </c>
      <c r="N39" s="45">
        <v>10</v>
      </c>
      <c r="O39" s="45">
        <v>12</v>
      </c>
      <c r="P39" s="45">
        <v>10.8</v>
      </c>
      <c r="Q39" s="45">
        <v>9.6</v>
      </c>
      <c r="R39" s="45">
        <v>7.2</v>
      </c>
      <c r="S39" s="45">
        <v>10</v>
      </c>
      <c r="T39" s="45">
        <v>10</v>
      </c>
      <c r="U39" s="45">
        <v>10</v>
      </c>
      <c r="V39" s="45">
        <v>10</v>
      </c>
      <c r="W39" s="45">
        <v>10</v>
      </c>
      <c r="X39" s="45">
        <v>10</v>
      </c>
      <c r="Y39" s="45">
        <v>10</v>
      </c>
      <c r="Z39" s="45">
        <v>10</v>
      </c>
      <c r="AA39" s="45">
        <v>10</v>
      </c>
      <c r="AB39" s="45">
        <v>10</v>
      </c>
      <c r="AC39" s="45">
        <v>10</v>
      </c>
      <c r="AD39" s="45">
        <v>10</v>
      </c>
      <c r="AE39" s="45">
        <v>2</v>
      </c>
      <c r="AF39" s="45">
        <v>2</v>
      </c>
      <c r="AG39" s="49">
        <v>12</v>
      </c>
      <c r="AH39" s="47">
        <f t="shared" si="2"/>
        <v>12</v>
      </c>
      <c r="AI39" s="48">
        <f t="shared" si="3"/>
        <v>2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12</v>
      </c>
      <c r="C40" s="45">
        <v>12</v>
      </c>
      <c r="D40" s="45">
        <v>12</v>
      </c>
      <c r="E40" s="45">
        <v>12</v>
      </c>
      <c r="F40" s="45">
        <v>12</v>
      </c>
      <c r="G40" s="45">
        <v>12</v>
      </c>
      <c r="H40" s="45">
        <v>12</v>
      </c>
      <c r="I40" s="45">
        <v>12</v>
      </c>
      <c r="J40" s="45">
        <v>12</v>
      </c>
      <c r="K40" s="45">
        <v>12</v>
      </c>
      <c r="L40" s="45">
        <v>12</v>
      </c>
      <c r="M40" s="45">
        <v>12</v>
      </c>
      <c r="N40" s="45">
        <v>12</v>
      </c>
      <c r="O40" s="45">
        <v>12</v>
      </c>
      <c r="P40" s="45">
        <v>12</v>
      </c>
      <c r="Q40" s="45">
        <v>12</v>
      </c>
      <c r="R40" s="45">
        <v>12</v>
      </c>
      <c r="S40" s="45">
        <v>12</v>
      </c>
      <c r="T40" s="45">
        <v>12</v>
      </c>
      <c r="U40" s="45">
        <v>12</v>
      </c>
      <c r="V40" s="45">
        <v>12</v>
      </c>
      <c r="W40" s="45">
        <v>12</v>
      </c>
      <c r="X40" s="45">
        <v>12</v>
      </c>
      <c r="Y40" s="45">
        <v>12</v>
      </c>
      <c r="Z40" s="45">
        <v>12</v>
      </c>
      <c r="AA40" s="45">
        <v>12</v>
      </c>
      <c r="AB40" s="45">
        <v>12</v>
      </c>
      <c r="AC40" s="45">
        <v>12</v>
      </c>
      <c r="AD40" s="45">
        <v>12</v>
      </c>
      <c r="AE40" s="45">
        <v>7</v>
      </c>
      <c r="AF40" s="45">
        <v>0</v>
      </c>
      <c r="AG40" s="49">
        <v>12</v>
      </c>
      <c r="AH40" s="47">
        <f t="shared" si="2"/>
        <v>12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>
        <v>11</v>
      </c>
      <c r="AB42" s="45">
        <v>11</v>
      </c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11</v>
      </c>
      <c r="C43" s="45">
        <v>11</v>
      </c>
      <c r="D43" s="45">
        <v>11</v>
      </c>
      <c r="E43" s="45">
        <v>11</v>
      </c>
      <c r="F43" s="45">
        <v>11</v>
      </c>
      <c r="G43" s="45">
        <v>11</v>
      </c>
      <c r="H43" s="45">
        <v>11</v>
      </c>
      <c r="I43" s="45">
        <v>11</v>
      </c>
      <c r="J43" s="45">
        <v>11</v>
      </c>
      <c r="K43" s="45">
        <v>11</v>
      </c>
      <c r="L43" s="45">
        <v>11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>
        <v>11</v>
      </c>
      <c r="AB43" s="45">
        <v>11</v>
      </c>
      <c r="AC43" s="45">
        <v>11</v>
      </c>
      <c r="AD43" s="45">
        <v>11</v>
      </c>
      <c r="AE43" s="45">
        <v>6</v>
      </c>
      <c r="AF43" s="45">
        <v>0</v>
      </c>
      <c r="AG43" s="51">
        <v>11.88</v>
      </c>
      <c r="AH43" s="47">
        <f t="shared" si="2"/>
        <v>11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8.5</v>
      </c>
      <c r="C45" s="45">
        <v>8.5</v>
      </c>
      <c r="D45" s="45">
        <v>8.5</v>
      </c>
      <c r="E45" s="45">
        <v>8.5</v>
      </c>
      <c r="F45" s="45">
        <v>8.5</v>
      </c>
      <c r="G45" s="45">
        <v>8.5</v>
      </c>
      <c r="H45" s="45">
        <v>8.5</v>
      </c>
      <c r="I45" s="45">
        <v>8.5</v>
      </c>
      <c r="J45" s="45">
        <v>8.5</v>
      </c>
      <c r="K45" s="45">
        <v>8.5</v>
      </c>
      <c r="L45" s="45">
        <v>8.5</v>
      </c>
      <c r="M45" s="45">
        <v>8.5</v>
      </c>
      <c r="N45" s="45">
        <v>8.5</v>
      </c>
      <c r="O45" s="45">
        <v>8.5</v>
      </c>
      <c r="P45" s="45">
        <v>8.5</v>
      </c>
      <c r="Q45" s="45">
        <v>8.5</v>
      </c>
      <c r="R45" s="45">
        <v>8.5</v>
      </c>
      <c r="S45" s="45">
        <v>8.5</v>
      </c>
      <c r="T45" s="45">
        <v>8.5</v>
      </c>
      <c r="U45" s="45">
        <v>8.5</v>
      </c>
      <c r="V45" s="45">
        <v>8.5</v>
      </c>
      <c r="W45" s="45">
        <v>8.5</v>
      </c>
      <c r="X45" s="45">
        <v>8.5</v>
      </c>
      <c r="Y45" s="45">
        <v>8.5</v>
      </c>
      <c r="Z45" s="45">
        <v>8.5</v>
      </c>
      <c r="AA45" s="45">
        <v>8.5</v>
      </c>
      <c r="AB45" s="45">
        <v>8.5</v>
      </c>
      <c r="AC45" s="45">
        <v>8.5</v>
      </c>
      <c r="AD45" s="45">
        <v>8.5</v>
      </c>
      <c r="AE45" s="45">
        <v>0</v>
      </c>
      <c r="AF45" s="45">
        <v>0</v>
      </c>
      <c r="AG45" s="54">
        <v>10</v>
      </c>
      <c r="AH45" s="47">
        <f t="shared" si="2"/>
        <v>8.5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10</v>
      </c>
      <c r="N46" s="45">
        <v>10</v>
      </c>
      <c r="O46" s="45">
        <v>10</v>
      </c>
      <c r="P46" s="45">
        <v>10</v>
      </c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>
        <v>10</v>
      </c>
      <c r="AB46" s="45">
        <v>10</v>
      </c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10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>
        <v>400</v>
      </c>
      <c r="AB48" s="56">
        <v>400</v>
      </c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116.5</v>
      </c>
      <c r="C49" s="56">
        <v>116.5</v>
      </c>
      <c r="D49" s="56">
        <v>116.5</v>
      </c>
      <c r="E49" s="56">
        <v>116.5</v>
      </c>
      <c r="F49" s="56">
        <v>116.5</v>
      </c>
      <c r="G49" s="56">
        <v>116.5</v>
      </c>
      <c r="H49" s="56">
        <v>116.5</v>
      </c>
      <c r="I49" s="56">
        <v>116.5</v>
      </c>
      <c r="J49" s="56">
        <v>116.5</v>
      </c>
      <c r="K49" s="56">
        <v>116.5</v>
      </c>
      <c r="L49" s="56">
        <v>116.5</v>
      </c>
      <c r="M49" s="58">
        <f>87.7+33.3</f>
        <v>121</v>
      </c>
      <c r="N49" s="58">
        <f>87.6+33.1</f>
        <v>120.69999999999999</v>
      </c>
      <c r="O49" s="58">
        <f>88.1+33.6</f>
        <v>121.69999999999999</v>
      </c>
      <c r="P49" s="58">
        <f>88.5+33.9</f>
        <v>122.4</v>
      </c>
      <c r="Q49" s="58">
        <f>80.6+30.9</f>
        <v>111.5</v>
      </c>
      <c r="R49" s="58">
        <f>21.1+92.2</f>
        <v>113.30000000000001</v>
      </c>
      <c r="S49" s="58">
        <f>21.1+92.2</f>
        <v>113.30000000000001</v>
      </c>
      <c r="T49" s="58">
        <v>118</v>
      </c>
      <c r="U49" s="58">
        <v>118</v>
      </c>
      <c r="V49" s="58">
        <v>118</v>
      </c>
      <c r="W49" s="58">
        <v>118</v>
      </c>
      <c r="X49" s="58">
        <v>116</v>
      </c>
      <c r="Y49" s="56">
        <v>116.5</v>
      </c>
      <c r="Z49" s="56">
        <v>117.5</v>
      </c>
      <c r="AA49" s="56">
        <v>117.5</v>
      </c>
      <c r="AB49" s="56">
        <v>117.5</v>
      </c>
      <c r="AC49" s="56">
        <v>117.5</v>
      </c>
      <c r="AD49" s="56">
        <v>117.5</v>
      </c>
      <c r="AE49" s="56">
        <v>117.5</v>
      </c>
      <c r="AF49" s="56">
        <v>117.5</v>
      </c>
      <c r="AG49" s="54">
        <v>240</v>
      </c>
      <c r="AH49" s="47">
        <f t="shared" si="2"/>
        <v>122.4</v>
      </c>
      <c r="AI49" s="48">
        <f t="shared" si="3"/>
        <v>111.5</v>
      </c>
      <c r="AK49" s="50"/>
    </row>
    <row r="50" spans="1:41" ht="15.75" thickBot="1" x14ac:dyDescent="0.3">
      <c r="A50" s="59" t="s">
        <v>58</v>
      </c>
      <c r="B50" s="60">
        <f t="shared" ref="B50:AA50" si="4">SUM(B11:B48)</f>
        <v>1005.9</v>
      </c>
      <c r="C50" s="60">
        <f t="shared" si="4"/>
        <v>1005.9</v>
      </c>
      <c r="D50" s="60">
        <f t="shared" si="4"/>
        <v>1035.9000000000001</v>
      </c>
      <c r="E50" s="60">
        <f t="shared" si="4"/>
        <v>1075.8999999999999</v>
      </c>
      <c r="F50" s="60">
        <f t="shared" si="4"/>
        <v>1092.8999999999999</v>
      </c>
      <c r="G50" s="60">
        <f t="shared" si="4"/>
        <v>1092.8999999999999</v>
      </c>
      <c r="H50" s="60">
        <f t="shared" si="4"/>
        <v>1092.8999999999999</v>
      </c>
      <c r="I50" s="60">
        <f t="shared" si="4"/>
        <v>1092.8999999999999</v>
      </c>
      <c r="J50" s="60">
        <f t="shared" si="4"/>
        <v>1102.1999999999998</v>
      </c>
      <c r="K50" s="60">
        <f t="shared" si="4"/>
        <v>1102.1999999999998</v>
      </c>
      <c r="L50" s="60">
        <f t="shared" si="4"/>
        <v>1102.1999999999998</v>
      </c>
      <c r="M50" s="60">
        <f t="shared" si="4"/>
        <v>1210.6999999999998</v>
      </c>
      <c r="N50" s="60">
        <f t="shared" si="4"/>
        <v>1215.6999999999998</v>
      </c>
      <c r="O50" s="60">
        <f t="shared" si="4"/>
        <v>1188.1999999999998</v>
      </c>
      <c r="P50" s="60">
        <f t="shared" si="4"/>
        <v>1178.7999999999997</v>
      </c>
      <c r="Q50" s="60">
        <f t="shared" si="4"/>
        <v>1172.4000000000001</v>
      </c>
      <c r="R50" s="60">
        <f t="shared" ref="R50" si="5">SUM(R11:R48)</f>
        <v>1144.5999999999999</v>
      </c>
      <c r="S50" s="60">
        <f t="shared" si="4"/>
        <v>1180.3999999999999</v>
      </c>
      <c r="T50" s="60">
        <f t="shared" si="4"/>
        <v>1172.3999999999999</v>
      </c>
      <c r="U50" s="60">
        <f t="shared" si="4"/>
        <v>1186.8999999999999</v>
      </c>
      <c r="V50" s="60">
        <f t="shared" si="4"/>
        <v>1144.5999999999999</v>
      </c>
      <c r="W50" s="60">
        <f t="shared" si="4"/>
        <v>1167.5999999999999</v>
      </c>
      <c r="X50" s="60">
        <f t="shared" si="4"/>
        <v>1167.5999999999999</v>
      </c>
      <c r="Y50" s="60">
        <f t="shared" si="4"/>
        <v>1163.5999999999999</v>
      </c>
      <c r="Z50" s="60">
        <f t="shared" si="4"/>
        <v>1152.5999999999999</v>
      </c>
      <c r="AA50" s="60">
        <f t="shared" si="4"/>
        <v>1138.0999999999999</v>
      </c>
      <c r="AB50" s="60">
        <f t="shared" ref="AB50:AD50" si="6">SUM(AB11:AB48)</f>
        <v>1138.0999999999999</v>
      </c>
      <c r="AC50" s="60">
        <f t="shared" si="6"/>
        <v>1138.0999999999999</v>
      </c>
      <c r="AD50" s="60">
        <f t="shared" si="6"/>
        <v>1105.5999999999999</v>
      </c>
      <c r="AE50" s="60">
        <f t="shared" ref="AE50:AF50" si="7">SUM(AE11:AE48)</f>
        <v>1014.3999999999999</v>
      </c>
      <c r="AF50" s="60">
        <f t="shared" si="7"/>
        <v>949.69999999999993</v>
      </c>
      <c r="AG50" s="61">
        <f>SUM(AG13:AG48)</f>
        <v>922.14</v>
      </c>
      <c r="AH50" s="47">
        <f t="shared" si="2"/>
        <v>1215.6999999999998</v>
      </c>
      <c r="AI50" s="48">
        <f t="shared" si="3"/>
        <v>949.69999999999993</v>
      </c>
      <c r="AK50" s="50"/>
    </row>
    <row r="51" spans="1:41" x14ac:dyDescent="0.25">
      <c r="A51" s="62" t="s">
        <v>59</v>
      </c>
      <c r="B51" s="45">
        <v>440</v>
      </c>
      <c r="C51" s="45">
        <v>420</v>
      </c>
      <c r="D51" s="45">
        <v>360</v>
      </c>
      <c r="E51" s="45">
        <v>330</v>
      </c>
      <c r="F51" s="45">
        <v>310</v>
      </c>
      <c r="G51" s="45">
        <v>335</v>
      </c>
      <c r="H51" s="45">
        <v>335</v>
      </c>
      <c r="I51" s="45">
        <v>335</v>
      </c>
      <c r="J51" s="45">
        <v>335</v>
      </c>
      <c r="K51" s="45">
        <v>375</v>
      </c>
      <c r="L51" s="45">
        <v>400</v>
      </c>
      <c r="M51" s="45">
        <v>420</v>
      </c>
      <c r="N51" s="175">
        <v>380</v>
      </c>
      <c r="O51" s="175">
        <v>380</v>
      </c>
      <c r="P51" s="175">
        <v>380</v>
      </c>
      <c r="Q51" s="175">
        <v>400</v>
      </c>
      <c r="R51" s="175">
        <v>380</v>
      </c>
      <c r="S51" s="175">
        <v>380</v>
      </c>
      <c r="T51" s="175">
        <v>380</v>
      </c>
      <c r="U51" s="45">
        <v>380</v>
      </c>
      <c r="V51" s="45">
        <v>380</v>
      </c>
      <c r="W51" s="45">
        <v>390</v>
      </c>
      <c r="X51" s="45">
        <v>400</v>
      </c>
      <c r="Y51" s="45">
        <v>380</v>
      </c>
      <c r="Z51" s="45">
        <v>380</v>
      </c>
      <c r="AA51" s="45">
        <v>380</v>
      </c>
      <c r="AB51" s="45">
        <v>380</v>
      </c>
      <c r="AC51" s="45">
        <v>380</v>
      </c>
      <c r="AD51" s="45">
        <v>380</v>
      </c>
      <c r="AE51" s="45">
        <v>330</v>
      </c>
      <c r="AF51" s="45">
        <v>330</v>
      </c>
      <c r="AG51" s="51">
        <v>456</v>
      </c>
      <c r="AH51" s="47">
        <f t="shared" si="2"/>
        <v>440</v>
      </c>
      <c r="AI51" s="48">
        <f t="shared" si="3"/>
        <v>310</v>
      </c>
      <c r="AK51" s="50"/>
      <c r="AL51" s="184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>
        <v>60</v>
      </c>
      <c r="AB52" s="64">
        <v>60</v>
      </c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22.4</v>
      </c>
      <c r="C53" s="66">
        <v>22.4</v>
      </c>
      <c r="D53" s="66">
        <v>22.4</v>
      </c>
      <c r="E53" s="66">
        <v>22.4</v>
      </c>
      <c r="F53" s="66">
        <v>22.4</v>
      </c>
      <c r="G53" s="66">
        <v>22.4</v>
      </c>
      <c r="H53" s="66">
        <v>22.4</v>
      </c>
      <c r="I53" s="66">
        <v>22.4</v>
      </c>
      <c r="J53" s="66">
        <v>22.4</v>
      </c>
      <c r="K53" s="66">
        <v>22.4</v>
      </c>
      <c r="L53" s="66">
        <v>22.4</v>
      </c>
      <c r="M53" s="66">
        <v>22.4</v>
      </c>
      <c r="N53" s="66">
        <v>22.4</v>
      </c>
      <c r="O53" s="66">
        <v>22.4</v>
      </c>
      <c r="P53" s="66">
        <v>22.4</v>
      </c>
      <c r="Q53" s="66">
        <v>22.4</v>
      </c>
      <c r="R53" s="66">
        <v>22.5</v>
      </c>
      <c r="S53" s="66">
        <v>22.5</v>
      </c>
      <c r="T53" s="66">
        <v>22.5</v>
      </c>
      <c r="U53" s="66">
        <v>22.4</v>
      </c>
      <c r="V53" s="66">
        <v>22.4</v>
      </c>
      <c r="W53" s="66">
        <v>22.4</v>
      </c>
      <c r="X53" s="66">
        <v>22.4</v>
      </c>
      <c r="Y53" s="66">
        <v>22.1</v>
      </c>
      <c r="Z53" s="66">
        <v>22.1</v>
      </c>
      <c r="AA53" s="66">
        <v>22.1</v>
      </c>
      <c r="AB53" s="66">
        <v>22.1</v>
      </c>
      <c r="AC53" s="66">
        <v>22.1</v>
      </c>
      <c r="AD53" s="66">
        <v>22.1</v>
      </c>
      <c r="AE53" s="66">
        <v>22.1</v>
      </c>
      <c r="AF53" s="66">
        <v>22.1</v>
      </c>
      <c r="AG53" s="67">
        <v>22.1</v>
      </c>
      <c r="AH53" s="47">
        <f t="shared" si="2"/>
        <v>22.5</v>
      </c>
      <c r="AI53" s="48">
        <f t="shared" si="3"/>
        <v>22.1</v>
      </c>
      <c r="AK53" s="50"/>
      <c r="AL53" s="184"/>
    </row>
    <row r="54" spans="1:41" ht="15.75" thickBot="1" x14ac:dyDescent="0.3">
      <c r="A54" s="68" t="s">
        <v>62</v>
      </c>
      <c r="B54" s="60">
        <f t="shared" ref="B54:AG54" si="8">SUM(B51:B53)</f>
        <v>522.4</v>
      </c>
      <c r="C54" s="60">
        <f t="shared" si="8"/>
        <v>502.4</v>
      </c>
      <c r="D54" s="60">
        <f t="shared" si="8"/>
        <v>442.4</v>
      </c>
      <c r="E54" s="60">
        <f t="shared" si="8"/>
        <v>412.4</v>
      </c>
      <c r="F54" s="60">
        <f t="shared" si="8"/>
        <v>392.4</v>
      </c>
      <c r="G54" s="60">
        <f t="shared" si="8"/>
        <v>417.4</v>
      </c>
      <c r="H54" s="60">
        <f t="shared" si="8"/>
        <v>417.4</v>
      </c>
      <c r="I54" s="60">
        <f t="shared" si="8"/>
        <v>417.4</v>
      </c>
      <c r="J54" s="60">
        <f t="shared" si="8"/>
        <v>417.4</v>
      </c>
      <c r="K54" s="60">
        <f t="shared" si="8"/>
        <v>457.4</v>
      </c>
      <c r="L54" s="60">
        <f t="shared" si="8"/>
        <v>482.4</v>
      </c>
      <c r="M54" s="60">
        <f t="shared" si="8"/>
        <v>502.4</v>
      </c>
      <c r="N54" s="60">
        <f t="shared" si="8"/>
        <v>462.4</v>
      </c>
      <c r="O54" s="60">
        <f t="shared" si="8"/>
        <v>462.4</v>
      </c>
      <c r="P54" s="60">
        <f t="shared" si="8"/>
        <v>462.4</v>
      </c>
      <c r="Q54" s="60">
        <f t="shared" si="8"/>
        <v>482.4</v>
      </c>
      <c r="R54" s="60">
        <f t="shared" ref="R54" si="9">SUM(R51:R53)</f>
        <v>462.5</v>
      </c>
      <c r="S54" s="60">
        <f t="shared" si="8"/>
        <v>462.5</v>
      </c>
      <c r="T54" s="60">
        <f t="shared" si="8"/>
        <v>462.5</v>
      </c>
      <c r="U54" s="60">
        <f t="shared" si="8"/>
        <v>462.4</v>
      </c>
      <c r="V54" s="60">
        <f t="shared" si="8"/>
        <v>462.4</v>
      </c>
      <c r="W54" s="60">
        <f t="shared" si="8"/>
        <v>472.4</v>
      </c>
      <c r="X54" s="60">
        <f t="shared" si="8"/>
        <v>482.4</v>
      </c>
      <c r="Y54" s="60">
        <f t="shared" si="8"/>
        <v>462.1</v>
      </c>
      <c r="Z54" s="60">
        <f t="shared" si="8"/>
        <v>462.1</v>
      </c>
      <c r="AA54" s="60">
        <f t="shared" si="8"/>
        <v>462.1</v>
      </c>
      <c r="AB54" s="60">
        <f t="shared" ref="AB54:AD54" si="10">SUM(AB51:AB53)</f>
        <v>462.1</v>
      </c>
      <c r="AC54" s="60">
        <f t="shared" si="10"/>
        <v>462.1</v>
      </c>
      <c r="AD54" s="60">
        <f t="shared" si="10"/>
        <v>462.1</v>
      </c>
      <c r="AE54" s="60">
        <f t="shared" ref="AE54:AF54" si="11">SUM(AE51:AE53)</f>
        <v>412.1</v>
      </c>
      <c r="AF54" s="60">
        <f t="shared" si="11"/>
        <v>412.1</v>
      </c>
      <c r="AG54" s="61">
        <f t="shared" si="8"/>
        <v>538.1</v>
      </c>
      <c r="AH54" s="47">
        <f t="shared" si="2"/>
        <v>522.4</v>
      </c>
      <c r="AI54" s="48">
        <f t="shared" si="3"/>
        <v>392.4</v>
      </c>
      <c r="AK54" s="50"/>
    </row>
    <row r="55" spans="1:41" x14ac:dyDescent="0.25">
      <c r="A55" s="44" t="s">
        <v>63</v>
      </c>
      <c r="B55" s="45">
        <v>141.5</v>
      </c>
      <c r="C55" s="45">
        <v>141.5</v>
      </c>
      <c r="D55" s="45">
        <v>141.5</v>
      </c>
      <c r="E55" s="45">
        <v>141.5</v>
      </c>
      <c r="F55" s="45">
        <v>141.5</v>
      </c>
      <c r="G55" s="45">
        <v>141.5</v>
      </c>
      <c r="H55" s="45">
        <v>141.5</v>
      </c>
      <c r="I55" s="45">
        <v>141.5</v>
      </c>
      <c r="J55" s="45">
        <v>141.5</v>
      </c>
      <c r="K55" s="45">
        <v>141.5</v>
      </c>
      <c r="L55" s="45">
        <v>141.5</v>
      </c>
      <c r="M55" s="45">
        <v>146</v>
      </c>
      <c r="N55" s="45">
        <v>137.9</v>
      </c>
      <c r="O55" s="45">
        <v>135</v>
      </c>
      <c r="P55" s="45">
        <v>127.6</v>
      </c>
      <c r="Q55" s="45">
        <v>136.4</v>
      </c>
      <c r="R55" s="45">
        <v>143.69999999999999</v>
      </c>
      <c r="S55" s="45">
        <v>136.69999999999999</v>
      </c>
      <c r="T55" s="45">
        <v>136.69999999999999</v>
      </c>
      <c r="U55" s="45">
        <v>143.9</v>
      </c>
      <c r="V55" s="45">
        <v>143.9</v>
      </c>
      <c r="W55" s="45">
        <v>124</v>
      </c>
      <c r="X55" s="45">
        <v>124</v>
      </c>
      <c r="Y55" s="45">
        <v>124</v>
      </c>
      <c r="Z55" s="45">
        <v>112</v>
      </c>
      <c r="AA55" s="45">
        <v>112</v>
      </c>
      <c r="AB55" s="45">
        <v>92.1</v>
      </c>
      <c r="AC55" s="45">
        <v>92.1</v>
      </c>
      <c r="AD55" s="45">
        <v>92.1</v>
      </c>
      <c r="AE55" s="45">
        <v>92.1</v>
      </c>
      <c r="AF55" s="45">
        <v>0</v>
      </c>
      <c r="AG55" s="51">
        <v>144</v>
      </c>
      <c r="AH55" s="47">
        <f t="shared" si="2"/>
        <v>146</v>
      </c>
      <c r="AI55" s="48">
        <f t="shared" si="3"/>
        <v>0</v>
      </c>
      <c r="AK55" s="50"/>
    </row>
    <row r="56" spans="1:41" x14ac:dyDescent="0.25">
      <c r="A56" s="53" t="s">
        <v>64</v>
      </c>
      <c r="B56" s="64">
        <v>70.5</v>
      </c>
      <c r="C56" s="64">
        <v>70.5</v>
      </c>
      <c r="D56" s="64">
        <v>70.5</v>
      </c>
      <c r="E56" s="64">
        <v>70.5</v>
      </c>
      <c r="F56" s="64">
        <v>70.5</v>
      </c>
      <c r="G56" s="64">
        <v>70.5</v>
      </c>
      <c r="H56" s="64">
        <v>70.5</v>
      </c>
      <c r="I56" s="64">
        <v>70.5</v>
      </c>
      <c r="J56" s="64">
        <v>70.5</v>
      </c>
      <c r="K56" s="64">
        <v>70.5</v>
      </c>
      <c r="L56" s="64">
        <v>70.5</v>
      </c>
      <c r="M56" s="64">
        <v>70.3</v>
      </c>
      <c r="N56" s="64">
        <v>70.8</v>
      </c>
      <c r="O56" s="64">
        <v>69.7</v>
      </c>
      <c r="P56" s="64">
        <v>69.3</v>
      </c>
      <c r="Q56" s="64">
        <v>69.099999999999994</v>
      </c>
      <c r="R56" s="64">
        <v>69.099999999999994</v>
      </c>
      <c r="S56" s="64">
        <v>69.099999999999994</v>
      </c>
      <c r="T56" s="64">
        <v>69.099999999999994</v>
      </c>
      <c r="U56" s="45">
        <v>70.099999999999994</v>
      </c>
      <c r="V56" s="45">
        <v>70.099999999999994</v>
      </c>
      <c r="W56" s="45">
        <v>70.099999999999994</v>
      </c>
      <c r="X56" s="45">
        <v>70.099999999999994</v>
      </c>
      <c r="Y56" s="45">
        <v>69</v>
      </c>
      <c r="Z56" s="45">
        <v>69</v>
      </c>
      <c r="AA56" s="45">
        <v>69</v>
      </c>
      <c r="AB56" s="45">
        <v>62.7</v>
      </c>
      <c r="AC56" s="45">
        <v>62.7</v>
      </c>
      <c r="AD56" s="45">
        <v>62.7</v>
      </c>
      <c r="AE56" s="45">
        <v>62.7</v>
      </c>
      <c r="AF56" s="45">
        <v>51</v>
      </c>
      <c r="AG56" s="54">
        <v>70</v>
      </c>
      <c r="AH56" s="47">
        <f t="shared" si="2"/>
        <v>70.8</v>
      </c>
      <c r="AI56" s="48">
        <f t="shared" si="3"/>
        <v>51</v>
      </c>
      <c r="AK56" s="50"/>
    </row>
    <row r="57" spans="1:41" x14ac:dyDescent="0.25">
      <c r="A57" s="53" t="s">
        <v>65</v>
      </c>
      <c r="B57" s="64">
        <v>62</v>
      </c>
      <c r="C57" s="64">
        <v>62</v>
      </c>
      <c r="D57" s="64">
        <v>62</v>
      </c>
      <c r="E57" s="64">
        <v>62</v>
      </c>
      <c r="F57" s="64">
        <v>62</v>
      </c>
      <c r="G57" s="64">
        <v>62</v>
      </c>
      <c r="H57" s="64">
        <v>62</v>
      </c>
      <c r="I57" s="64">
        <v>62</v>
      </c>
      <c r="J57" s="64">
        <v>62</v>
      </c>
      <c r="K57" s="64">
        <v>62</v>
      </c>
      <c r="L57" s="64">
        <v>62</v>
      </c>
      <c r="M57" s="64">
        <v>62.8</v>
      </c>
      <c r="N57" s="64">
        <v>66.400000000000006</v>
      </c>
      <c r="O57" s="64">
        <v>65.599999999999994</v>
      </c>
      <c r="P57" s="64">
        <v>65.900000000000006</v>
      </c>
      <c r="Q57" s="64">
        <v>65.7</v>
      </c>
      <c r="R57" s="64">
        <v>66.7</v>
      </c>
      <c r="S57" s="64">
        <v>69</v>
      </c>
      <c r="T57" s="64">
        <v>69</v>
      </c>
      <c r="U57" s="45">
        <v>66.7</v>
      </c>
      <c r="V57" s="45">
        <v>66.7</v>
      </c>
      <c r="W57" s="45">
        <v>66.7</v>
      </c>
      <c r="X57" s="45">
        <v>66.7</v>
      </c>
      <c r="Y57" s="45">
        <v>66.7</v>
      </c>
      <c r="Z57" s="45">
        <v>70</v>
      </c>
      <c r="AA57" s="45">
        <v>70</v>
      </c>
      <c r="AB57" s="45">
        <v>52.7</v>
      </c>
      <c r="AC57" s="45">
        <v>52.7</v>
      </c>
      <c r="AD57" s="45">
        <v>52.7</v>
      </c>
      <c r="AE57" s="45">
        <v>52.7</v>
      </c>
      <c r="AF57" s="45">
        <v>58</v>
      </c>
      <c r="AG57" s="54">
        <v>69</v>
      </c>
      <c r="AH57" s="47">
        <f t="shared" si="2"/>
        <v>70</v>
      </c>
      <c r="AI57" s="48">
        <f t="shared" si="3"/>
        <v>52.7</v>
      </c>
      <c r="AK57" s="50"/>
    </row>
    <row r="58" spans="1:41" x14ac:dyDescent="0.25">
      <c r="A58" s="53" t="s">
        <v>66</v>
      </c>
      <c r="B58" s="64">
        <v>60.2</v>
      </c>
      <c r="C58" s="64">
        <v>60.2</v>
      </c>
      <c r="D58" s="64">
        <v>60.2</v>
      </c>
      <c r="E58" s="64">
        <v>60.2</v>
      </c>
      <c r="F58" s="64">
        <v>60.2</v>
      </c>
      <c r="G58" s="64">
        <v>60.2</v>
      </c>
      <c r="H58" s="64">
        <v>60.2</v>
      </c>
      <c r="I58" s="64">
        <v>60.2</v>
      </c>
      <c r="J58" s="64">
        <v>60.2</v>
      </c>
      <c r="K58" s="64">
        <v>60.2</v>
      </c>
      <c r="L58" s="64">
        <v>60.2</v>
      </c>
      <c r="M58" s="64">
        <v>60.9</v>
      </c>
      <c r="N58" s="64">
        <v>59.2</v>
      </c>
      <c r="O58" s="64">
        <v>60</v>
      </c>
      <c r="P58" s="64">
        <v>59.7</v>
      </c>
      <c r="Q58" s="64">
        <v>40</v>
      </c>
      <c r="R58" s="64">
        <v>60.7</v>
      </c>
      <c r="S58" s="64">
        <v>60.7</v>
      </c>
      <c r="T58" s="64">
        <v>60.7</v>
      </c>
      <c r="U58" s="45">
        <v>60.9</v>
      </c>
      <c r="V58" s="45">
        <v>60.9</v>
      </c>
      <c r="W58" s="45">
        <v>60.9</v>
      </c>
      <c r="X58" s="45">
        <v>60.9</v>
      </c>
      <c r="Y58" s="45">
        <v>60.9</v>
      </c>
      <c r="Z58" s="45">
        <v>60.9</v>
      </c>
      <c r="AA58" s="45">
        <v>60.9</v>
      </c>
      <c r="AB58" s="45">
        <v>50.2</v>
      </c>
      <c r="AC58" s="45">
        <v>50.2</v>
      </c>
      <c r="AD58" s="45">
        <v>50.2</v>
      </c>
      <c r="AE58" s="45">
        <v>50.2</v>
      </c>
      <c r="AF58" s="45">
        <v>60</v>
      </c>
      <c r="AG58" s="54">
        <v>60</v>
      </c>
      <c r="AH58" s="47">
        <f t="shared" si="2"/>
        <v>60.9</v>
      </c>
      <c r="AI58" s="48">
        <f t="shared" si="3"/>
        <v>40</v>
      </c>
      <c r="AK58" s="50"/>
    </row>
    <row r="59" spans="1:41" x14ac:dyDescent="0.25">
      <c r="A59" s="53" t="s">
        <v>67</v>
      </c>
      <c r="B59" s="64">
        <v>15</v>
      </c>
      <c r="C59" s="64">
        <v>15</v>
      </c>
      <c r="D59" s="64">
        <v>15</v>
      </c>
      <c r="E59" s="64">
        <v>15</v>
      </c>
      <c r="F59" s="64">
        <v>15</v>
      </c>
      <c r="G59" s="64">
        <v>15</v>
      </c>
      <c r="H59" s="64">
        <v>15</v>
      </c>
      <c r="I59" s="64">
        <v>15</v>
      </c>
      <c r="J59" s="64">
        <v>15</v>
      </c>
      <c r="K59" s="64">
        <v>15</v>
      </c>
      <c r="L59" s="64">
        <v>15</v>
      </c>
      <c r="M59" s="64">
        <v>15</v>
      </c>
      <c r="N59" s="64">
        <v>15</v>
      </c>
      <c r="O59" s="64">
        <v>15</v>
      </c>
      <c r="P59" s="64">
        <v>15</v>
      </c>
      <c r="Q59" s="64">
        <v>15</v>
      </c>
      <c r="R59" s="64">
        <v>15</v>
      </c>
      <c r="S59" s="64">
        <v>15</v>
      </c>
      <c r="T59" s="64">
        <v>15</v>
      </c>
      <c r="U59" s="45">
        <v>15</v>
      </c>
      <c r="V59" s="45">
        <v>0</v>
      </c>
      <c r="W59" s="45">
        <v>15</v>
      </c>
      <c r="X59" s="45">
        <v>15</v>
      </c>
      <c r="Y59" s="45">
        <v>15</v>
      </c>
      <c r="Z59" s="45">
        <v>15</v>
      </c>
      <c r="AA59" s="45">
        <v>15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54">
        <v>30</v>
      </c>
      <c r="AH59" s="47">
        <f t="shared" si="2"/>
        <v>15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3.4</v>
      </c>
      <c r="N60" s="64">
        <v>4.9000000000000004</v>
      </c>
      <c r="O60" s="64">
        <v>15.9</v>
      </c>
      <c r="P60" s="64">
        <v>15.9</v>
      </c>
      <c r="Q60" s="64">
        <v>15.6</v>
      </c>
      <c r="R60" s="64">
        <v>14.7</v>
      </c>
      <c r="S60" s="64">
        <v>11.7</v>
      </c>
      <c r="T60" s="64">
        <v>6.5</v>
      </c>
      <c r="U60" s="45">
        <v>2.6</v>
      </c>
      <c r="V60" s="45">
        <v>2.6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54">
        <v>25</v>
      </c>
      <c r="AH60" s="47">
        <f t="shared" si="2"/>
        <v>15.9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14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14</v>
      </c>
      <c r="S61" s="64">
        <v>14</v>
      </c>
      <c r="T61" s="64">
        <v>14</v>
      </c>
      <c r="U61" s="64">
        <v>14</v>
      </c>
      <c r="V61" s="64">
        <v>14</v>
      </c>
      <c r="W61" s="64">
        <v>14</v>
      </c>
      <c r="X61" s="64">
        <v>14</v>
      </c>
      <c r="Y61" s="64">
        <v>14</v>
      </c>
      <c r="Z61" s="64">
        <v>14</v>
      </c>
      <c r="AA61" s="64">
        <v>14</v>
      </c>
      <c r="AB61" s="64">
        <v>14</v>
      </c>
      <c r="AC61" s="64">
        <v>14</v>
      </c>
      <c r="AD61" s="64">
        <v>14</v>
      </c>
      <c r="AE61" s="64">
        <v>14</v>
      </c>
      <c r="AF61" s="64">
        <v>14</v>
      </c>
      <c r="AG61" s="54">
        <v>24</v>
      </c>
      <c r="AH61" s="47">
        <f t="shared" si="2"/>
        <v>14</v>
      </c>
      <c r="AI61" s="48">
        <f t="shared" si="3"/>
        <v>14</v>
      </c>
      <c r="AK61" s="50"/>
    </row>
    <row r="62" spans="1:41" x14ac:dyDescent="0.25">
      <c r="A62" s="53" t="s">
        <v>70</v>
      </c>
      <c r="B62" s="64">
        <v>2.5</v>
      </c>
      <c r="C62" s="64">
        <v>2.5</v>
      </c>
      <c r="D62" s="64">
        <v>2.5</v>
      </c>
      <c r="E62" s="64">
        <v>2.5</v>
      </c>
      <c r="F62" s="64">
        <v>2.5</v>
      </c>
      <c r="G62" s="64">
        <v>2.5</v>
      </c>
      <c r="H62" s="64">
        <v>2.5</v>
      </c>
      <c r="I62" s="64">
        <v>2.5</v>
      </c>
      <c r="J62" s="64">
        <v>2.5</v>
      </c>
      <c r="K62" s="64">
        <v>2.5</v>
      </c>
      <c r="L62" s="64">
        <v>2.5</v>
      </c>
      <c r="M62" s="64">
        <v>2.5</v>
      </c>
      <c r="N62" s="64">
        <v>2.5</v>
      </c>
      <c r="O62" s="64">
        <v>2.5</v>
      </c>
      <c r="P62" s="64">
        <v>2.5</v>
      </c>
      <c r="Q62" s="64">
        <v>2.5</v>
      </c>
      <c r="R62" s="64">
        <v>2.5</v>
      </c>
      <c r="S62" s="64">
        <v>2.5</v>
      </c>
      <c r="T62" s="64">
        <v>2.5</v>
      </c>
      <c r="U62" s="64">
        <v>2.5</v>
      </c>
      <c r="V62" s="64">
        <v>2.5</v>
      </c>
      <c r="W62" s="64">
        <v>2.5</v>
      </c>
      <c r="X62" s="64">
        <v>2.5</v>
      </c>
      <c r="Y62" s="64">
        <v>2.5</v>
      </c>
      <c r="Z62" s="64">
        <v>2.5</v>
      </c>
      <c r="AA62" s="64">
        <v>2.5</v>
      </c>
      <c r="AB62" s="64">
        <v>2.5</v>
      </c>
      <c r="AC62" s="64">
        <v>2.5</v>
      </c>
      <c r="AD62" s="64">
        <v>2.5</v>
      </c>
      <c r="AE62" s="64">
        <v>2.5</v>
      </c>
      <c r="AF62" s="64">
        <v>2.5</v>
      </c>
      <c r="AG62" s="54">
        <v>15</v>
      </c>
      <c r="AH62" s="47">
        <f t="shared" si="2"/>
        <v>2.5</v>
      </c>
      <c r="AI62" s="48">
        <f t="shared" si="3"/>
        <v>2.5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9.6</v>
      </c>
      <c r="C63" s="64">
        <v>9.6</v>
      </c>
      <c r="D63" s="64">
        <v>9.6</v>
      </c>
      <c r="E63" s="64">
        <v>9.6</v>
      </c>
      <c r="F63" s="64">
        <v>9.6</v>
      </c>
      <c r="G63" s="64">
        <v>9.6</v>
      </c>
      <c r="H63" s="64">
        <v>9.6</v>
      </c>
      <c r="I63" s="64">
        <v>9.6</v>
      </c>
      <c r="J63" s="64">
        <v>9.6</v>
      </c>
      <c r="K63" s="64">
        <v>9.6</v>
      </c>
      <c r="L63" s="64">
        <v>9.6</v>
      </c>
      <c r="M63" s="64">
        <v>9.5</v>
      </c>
      <c r="N63" s="64">
        <v>9.5</v>
      </c>
      <c r="O63" s="64">
        <v>9.5</v>
      </c>
      <c r="P63" s="64">
        <v>9.5</v>
      </c>
      <c r="Q63" s="64">
        <v>9.5</v>
      </c>
      <c r="R63" s="64">
        <v>9.4</v>
      </c>
      <c r="S63" s="64">
        <v>9.4</v>
      </c>
      <c r="T63" s="64">
        <v>9.4</v>
      </c>
      <c r="U63" s="64">
        <v>9.4</v>
      </c>
      <c r="V63" s="64">
        <v>9.4</v>
      </c>
      <c r="W63" s="64">
        <v>9.4</v>
      </c>
      <c r="X63" s="64">
        <v>9.4</v>
      </c>
      <c r="Y63" s="64">
        <v>9.4</v>
      </c>
      <c r="Z63" s="64">
        <v>9.4</v>
      </c>
      <c r="AA63" s="64">
        <v>9.4</v>
      </c>
      <c r="AB63" s="64">
        <v>9.4</v>
      </c>
      <c r="AC63" s="64">
        <v>9.4</v>
      </c>
      <c r="AD63" s="64">
        <v>9.4</v>
      </c>
      <c r="AE63" s="64">
        <v>9.4</v>
      </c>
      <c r="AF63" s="64">
        <v>9.4</v>
      </c>
      <c r="AG63" s="54">
        <v>14.1</v>
      </c>
      <c r="AH63" s="47">
        <f t="shared" si="2"/>
        <v>9.6</v>
      </c>
      <c r="AI63" s="48">
        <f t="shared" si="3"/>
        <v>9.4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14.4</v>
      </c>
      <c r="C64" s="64">
        <v>14.4</v>
      </c>
      <c r="D64" s="64">
        <v>14.4</v>
      </c>
      <c r="E64" s="64">
        <v>14.4</v>
      </c>
      <c r="F64" s="64">
        <v>14.4</v>
      </c>
      <c r="G64" s="64">
        <v>14.4</v>
      </c>
      <c r="H64" s="64">
        <v>14.4</v>
      </c>
      <c r="I64" s="64">
        <v>14.4</v>
      </c>
      <c r="J64" s="64">
        <v>14.4</v>
      </c>
      <c r="K64" s="64">
        <v>14.4</v>
      </c>
      <c r="L64" s="64">
        <v>14.4</v>
      </c>
      <c r="M64" s="64">
        <v>14.3</v>
      </c>
      <c r="N64" s="64">
        <v>14.3</v>
      </c>
      <c r="O64" s="64">
        <v>14.3</v>
      </c>
      <c r="P64" s="64">
        <v>14.3</v>
      </c>
      <c r="Q64" s="64">
        <v>14.3</v>
      </c>
      <c r="R64" s="64">
        <v>14.1</v>
      </c>
      <c r="S64" s="64">
        <v>14.1</v>
      </c>
      <c r="T64" s="64">
        <v>14.1</v>
      </c>
      <c r="U64" s="64">
        <v>14.1</v>
      </c>
      <c r="V64" s="64">
        <v>14.1</v>
      </c>
      <c r="W64" s="64">
        <v>14.1</v>
      </c>
      <c r="X64" s="64">
        <v>14.1</v>
      </c>
      <c r="Y64" s="64">
        <v>14.1</v>
      </c>
      <c r="Z64" s="64">
        <v>14.1</v>
      </c>
      <c r="AA64" s="64">
        <v>14.1</v>
      </c>
      <c r="AB64" s="64">
        <v>14.1</v>
      </c>
      <c r="AC64" s="64">
        <v>14.1</v>
      </c>
      <c r="AD64" s="64">
        <v>14.1</v>
      </c>
      <c r="AE64" s="64">
        <v>14.1</v>
      </c>
      <c r="AF64" s="64">
        <v>14.1</v>
      </c>
      <c r="AG64" s="54">
        <v>14</v>
      </c>
      <c r="AH64" s="47">
        <f t="shared" si="2"/>
        <v>14.4</v>
      </c>
      <c r="AI64" s="48">
        <f t="shared" si="3"/>
        <v>14.1</v>
      </c>
      <c r="AK64" s="50"/>
    </row>
    <row r="65" spans="1:40" x14ac:dyDescent="0.25">
      <c r="A65" s="53" t="s">
        <v>73</v>
      </c>
      <c r="B65" s="64">
        <v>8</v>
      </c>
      <c r="C65" s="64">
        <v>8</v>
      </c>
      <c r="D65" s="64">
        <v>8</v>
      </c>
      <c r="E65" s="64">
        <v>8</v>
      </c>
      <c r="F65" s="64">
        <v>8</v>
      </c>
      <c r="G65" s="64">
        <v>8</v>
      </c>
      <c r="H65" s="64">
        <v>8</v>
      </c>
      <c r="I65" s="64">
        <v>8</v>
      </c>
      <c r="J65" s="64">
        <v>8</v>
      </c>
      <c r="K65" s="64">
        <v>8</v>
      </c>
      <c r="L65" s="64">
        <v>8</v>
      </c>
      <c r="M65" s="64">
        <v>8</v>
      </c>
      <c r="N65" s="64">
        <v>8</v>
      </c>
      <c r="O65" s="64">
        <v>8</v>
      </c>
      <c r="P65" s="64">
        <v>8</v>
      </c>
      <c r="Q65" s="64">
        <v>8</v>
      </c>
      <c r="R65" s="64">
        <v>8</v>
      </c>
      <c r="S65" s="64">
        <v>8</v>
      </c>
      <c r="T65" s="64">
        <v>8</v>
      </c>
      <c r="U65" s="64">
        <v>8</v>
      </c>
      <c r="V65" s="64">
        <v>8</v>
      </c>
      <c r="W65" s="64">
        <v>8</v>
      </c>
      <c r="X65" s="64">
        <v>8</v>
      </c>
      <c r="Y65" s="64">
        <v>8</v>
      </c>
      <c r="Z65" s="64">
        <v>8</v>
      </c>
      <c r="AA65" s="64">
        <v>8</v>
      </c>
      <c r="AB65" s="64">
        <v>8</v>
      </c>
      <c r="AC65" s="64">
        <v>8</v>
      </c>
      <c r="AD65" s="64">
        <v>8</v>
      </c>
      <c r="AE65" s="64">
        <v>8</v>
      </c>
      <c r="AF65" s="64">
        <v>8</v>
      </c>
      <c r="AG65" s="54">
        <v>10.050000000000001</v>
      </c>
      <c r="AH65" s="47">
        <f t="shared" si="2"/>
        <v>8</v>
      </c>
      <c r="AI65" s="48">
        <f t="shared" si="3"/>
        <v>8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>
        <v>6.2</v>
      </c>
      <c r="AB66" s="64">
        <v>6.2</v>
      </c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12">SUM(B55:B67)</f>
        <v>407.44</v>
      </c>
      <c r="C68" s="60">
        <f t="shared" si="12"/>
        <v>407.44</v>
      </c>
      <c r="D68" s="60">
        <f t="shared" si="12"/>
        <v>407.44</v>
      </c>
      <c r="E68" s="60">
        <f t="shared" si="12"/>
        <v>407.44</v>
      </c>
      <c r="F68" s="60">
        <f t="shared" si="12"/>
        <v>407.44</v>
      </c>
      <c r="G68" s="60">
        <f t="shared" si="12"/>
        <v>407.44</v>
      </c>
      <c r="H68" s="60">
        <f t="shared" si="12"/>
        <v>407.44</v>
      </c>
      <c r="I68" s="60">
        <f t="shared" si="12"/>
        <v>407.44</v>
      </c>
      <c r="J68" s="60">
        <f t="shared" si="12"/>
        <v>407.44</v>
      </c>
      <c r="K68" s="60">
        <f t="shared" si="12"/>
        <v>407.44</v>
      </c>
      <c r="L68" s="60">
        <f t="shared" si="12"/>
        <v>407.44</v>
      </c>
      <c r="M68" s="60">
        <f t="shared" si="12"/>
        <v>416.44</v>
      </c>
      <c r="N68" s="60">
        <f t="shared" si="12"/>
        <v>412.24</v>
      </c>
      <c r="O68" s="60">
        <f t="shared" si="12"/>
        <v>419.23999999999995</v>
      </c>
      <c r="P68" s="60">
        <f t="shared" si="12"/>
        <v>411.43999999999994</v>
      </c>
      <c r="Q68" s="60">
        <f t="shared" si="12"/>
        <v>399.84000000000003</v>
      </c>
      <c r="R68" s="60">
        <f t="shared" ref="R68" si="13">SUM(R55:R67)</f>
        <v>427.64</v>
      </c>
      <c r="S68" s="60">
        <f t="shared" si="12"/>
        <v>419.93999999999994</v>
      </c>
      <c r="T68" s="60">
        <f t="shared" si="12"/>
        <v>414.73999999999995</v>
      </c>
      <c r="U68" s="60">
        <f t="shared" si="12"/>
        <v>416.94</v>
      </c>
      <c r="V68" s="60">
        <f t="shared" si="12"/>
        <v>401.94</v>
      </c>
      <c r="W68" s="60">
        <f t="shared" si="12"/>
        <v>394.44</v>
      </c>
      <c r="X68" s="60">
        <f t="shared" si="12"/>
        <v>394.44</v>
      </c>
      <c r="Y68" s="60">
        <f t="shared" si="12"/>
        <v>393.34</v>
      </c>
      <c r="Z68" s="60">
        <f t="shared" si="12"/>
        <v>384.64</v>
      </c>
      <c r="AA68" s="60">
        <f t="shared" si="12"/>
        <v>384.64</v>
      </c>
      <c r="AB68" s="60">
        <f t="shared" ref="AB68:AD68" si="14">SUM(AB55:AB67)</f>
        <v>315.44</v>
      </c>
      <c r="AC68" s="60">
        <f t="shared" si="14"/>
        <v>315.44</v>
      </c>
      <c r="AD68" s="60">
        <f t="shared" si="14"/>
        <v>315.44</v>
      </c>
      <c r="AE68" s="60">
        <f t="shared" ref="AE68:AF68" si="15">SUM(AE55:AE67)</f>
        <v>315.44</v>
      </c>
      <c r="AF68" s="60">
        <f t="shared" si="15"/>
        <v>226.73999999999998</v>
      </c>
      <c r="AG68" s="61">
        <f t="shared" si="12"/>
        <v>489.91</v>
      </c>
      <c r="AH68" s="47">
        <f t="shared" si="2"/>
        <v>427.64</v>
      </c>
      <c r="AI68" s="48">
        <f t="shared" si="3"/>
        <v>226.73999999999998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>
        <v>0</v>
      </c>
      <c r="N69" s="45">
        <v>10.6</v>
      </c>
      <c r="O69" s="45">
        <v>10.5</v>
      </c>
      <c r="P69" s="45">
        <v>10.5</v>
      </c>
      <c r="Q69" s="45">
        <v>13.9</v>
      </c>
      <c r="R69" s="45">
        <v>10.4</v>
      </c>
      <c r="S69" s="45">
        <v>10.4</v>
      </c>
      <c r="T69" s="45">
        <v>0</v>
      </c>
      <c r="U69" s="45">
        <v>0</v>
      </c>
      <c r="V69" s="45"/>
      <c r="W69" s="45"/>
      <c r="X69" s="45">
        <v>54.8</v>
      </c>
      <c r="Y69" s="45">
        <v>44.6</v>
      </c>
      <c r="Z69" s="45">
        <v>33.4</v>
      </c>
      <c r="AA69" s="45">
        <v>29</v>
      </c>
      <c r="AB69" s="45">
        <v>13.4</v>
      </c>
      <c r="AC69" s="45">
        <v>13.4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54.8</v>
      </c>
      <c r="AI69" s="48">
        <f t="shared" si="3"/>
        <v>0</v>
      </c>
      <c r="AK69" s="185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>
        <v>4.9000000000000004</v>
      </c>
      <c r="N70" s="64">
        <v>2.8</v>
      </c>
      <c r="O70" s="64">
        <v>4.5</v>
      </c>
      <c r="P70" s="64">
        <v>4.4000000000000004</v>
      </c>
      <c r="Q70" s="64">
        <v>6.3</v>
      </c>
      <c r="R70" s="64">
        <v>4.4000000000000004</v>
      </c>
      <c r="S70" s="64">
        <v>4.4000000000000004</v>
      </c>
      <c r="T70" s="64">
        <v>0</v>
      </c>
      <c r="U70" s="64">
        <v>0</v>
      </c>
      <c r="V70" s="64"/>
      <c r="W70" s="64"/>
      <c r="X70" s="64">
        <v>14</v>
      </c>
      <c r="Y70" s="64">
        <v>21.5</v>
      </c>
      <c r="Z70" s="64">
        <v>13.3</v>
      </c>
      <c r="AA70" s="64">
        <v>15</v>
      </c>
      <c r="AB70" s="64">
        <v>14.1</v>
      </c>
      <c r="AC70" s="64">
        <v>14.1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21.5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>
        <v>1.8</v>
      </c>
      <c r="N71" s="66">
        <v>1</v>
      </c>
      <c r="O71" s="66">
        <v>1.6</v>
      </c>
      <c r="P71" s="66">
        <v>1.6</v>
      </c>
      <c r="Q71" s="66">
        <v>2.2999999999999998</v>
      </c>
      <c r="R71" s="66">
        <v>1.6</v>
      </c>
      <c r="S71" s="66">
        <v>1.6</v>
      </c>
      <c r="T71" s="66">
        <v>0</v>
      </c>
      <c r="U71" s="66">
        <v>0</v>
      </c>
      <c r="V71" s="66"/>
      <c r="W71" s="66"/>
      <c r="X71" s="66">
        <v>5.0999999999999996</v>
      </c>
      <c r="Y71" s="66">
        <v>7.9</v>
      </c>
      <c r="Z71" s="66">
        <v>4.9000000000000004</v>
      </c>
      <c r="AA71" s="66">
        <v>5.5</v>
      </c>
      <c r="AB71" s="66">
        <v>5.2</v>
      </c>
      <c r="AC71" s="66">
        <v>5.2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7.9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A72" si="16">M69+M70+M71</f>
        <v>6.7</v>
      </c>
      <c r="N72" s="60">
        <f t="shared" si="16"/>
        <v>14.399999999999999</v>
      </c>
      <c r="O72" s="60">
        <f t="shared" si="16"/>
        <v>16.600000000000001</v>
      </c>
      <c r="P72" s="60">
        <f t="shared" si="16"/>
        <v>16.5</v>
      </c>
      <c r="Q72" s="60">
        <f t="shared" si="16"/>
        <v>22.5</v>
      </c>
      <c r="R72" s="60">
        <f t="shared" ref="R72" si="17">R69+R70+R71</f>
        <v>16.400000000000002</v>
      </c>
      <c r="S72" s="60">
        <f t="shared" si="16"/>
        <v>16.400000000000002</v>
      </c>
      <c r="T72" s="60">
        <f t="shared" si="16"/>
        <v>0</v>
      </c>
      <c r="U72" s="60">
        <f t="shared" si="16"/>
        <v>0</v>
      </c>
      <c r="V72" s="60">
        <f t="shared" si="16"/>
        <v>0</v>
      </c>
      <c r="W72" s="60">
        <f t="shared" si="16"/>
        <v>0</v>
      </c>
      <c r="X72" s="60">
        <f t="shared" si="16"/>
        <v>73.899999999999991</v>
      </c>
      <c r="Y72" s="60">
        <f t="shared" si="16"/>
        <v>74</v>
      </c>
      <c r="Z72" s="60">
        <f t="shared" si="16"/>
        <v>51.6</v>
      </c>
      <c r="AA72" s="60">
        <f t="shared" si="16"/>
        <v>49.5</v>
      </c>
      <c r="AB72" s="60">
        <f t="shared" ref="AB72:AD72" si="18">AB69+AB70+AB71</f>
        <v>32.700000000000003</v>
      </c>
      <c r="AC72" s="60">
        <f t="shared" si="18"/>
        <v>32.700000000000003</v>
      </c>
      <c r="AD72" s="60">
        <f t="shared" si="18"/>
        <v>0</v>
      </c>
      <c r="AE72" s="60">
        <f t="shared" ref="AE72:AF72" si="19">AE69+AE70+AE71</f>
        <v>0</v>
      </c>
      <c r="AF72" s="60">
        <f t="shared" si="19"/>
        <v>0</v>
      </c>
      <c r="AG72" s="61">
        <f>SUM(AG69:AG71)</f>
        <v>106</v>
      </c>
      <c r="AH72" s="47">
        <f t="shared" si="2"/>
        <v>74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-64</v>
      </c>
      <c r="C73" s="45">
        <v>-65</v>
      </c>
      <c r="D73" s="45">
        <v>-53</v>
      </c>
      <c r="E73" s="45">
        <v>-65</v>
      </c>
      <c r="F73" s="45">
        <v>-65</v>
      </c>
      <c r="G73" s="45">
        <v>-65</v>
      </c>
      <c r="H73" s="45">
        <v>-65</v>
      </c>
      <c r="I73" s="45">
        <v>-65</v>
      </c>
      <c r="J73" s="45">
        <v>-65</v>
      </c>
      <c r="K73" s="45">
        <v>-65</v>
      </c>
      <c r="L73" s="45">
        <v>-65</v>
      </c>
      <c r="M73" s="45">
        <v>-64</v>
      </c>
      <c r="N73" s="45">
        <v>-64</v>
      </c>
      <c r="O73" s="45">
        <v>-62</v>
      </c>
      <c r="P73" s="45">
        <v>-61.9</v>
      </c>
      <c r="Q73" s="45">
        <v>-64.599999999999994</v>
      </c>
      <c r="R73" s="45">
        <v>-65.599999999999994</v>
      </c>
      <c r="S73" s="45">
        <v>-68.599999999999994</v>
      </c>
      <c r="T73" s="45">
        <v>-65</v>
      </c>
      <c r="U73" s="45">
        <v>-72.3</v>
      </c>
      <c r="V73" s="45">
        <v>10</v>
      </c>
      <c r="W73" s="45">
        <v>-48.2</v>
      </c>
      <c r="X73" s="45">
        <v>-67.099999999999994</v>
      </c>
      <c r="Y73" s="45">
        <v>-52.6</v>
      </c>
      <c r="Z73" s="45">
        <v>-59.7</v>
      </c>
      <c r="AA73" s="45">
        <v>-53.2</v>
      </c>
      <c r="AB73" s="45">
        <v>26.8</v>
      </c>
      <c r="AC73" s="45">
        <v>26.8</v>
      </c>
      <c r="AD73" s="45">
        <v>26.8</v>
      </c>
      <c r="AE73" s="45">
        <v>26.8</v>
      </c>
      <c r="AF73" s="45">
        <v>26.8</v>
      </c>
      <c r="AG73" s="51"/>
      <c r="AH73" s="47">
        <f t="shared" si="2"/>
        <v>26.8</v>
      </c>
      <c r="AI73" s="48">
        <f t="shared" si="3"/>
        <v>-72.3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-517</v>
      </c>
      <c r="C75" s="64">
        <v>-530</v>
      </c>
      <c r="D75" s="64">
        <v>-500</v>
      </c>
      <c r="E75" s="64">
        <v>-520</v>
      </c>
      <c r="F75" s="64">
        <v>-521</v>
      </c>
      <c r="G75" s="64">
        <v>-532</v>
      </c>
      <c r="H75" s="64">
        <v>-530</v>
      </c>
      <c r="I75" s="64">
        <v>-518</v>
      </c>
      <c r="J75" s="64">
        <v>-519</v>
      </c>
      <c r="K75" s="64">
        <v>-518</v>
      </c>
      <c r="L75" s="64">
        <v>-520</v>
      </c>
      <c r="M75" s="64">
        <v>-580.6</v>
      </c>
      <c r="N75" s="64">
        <v>-570.29999999999995</v>
      </c>
      <c r="O75" s="64">
        <v>-600</v>
      </c>
      <c r="P75" s="64">
        <v>-568</v>
      </c>
      <c r="Q75" s="64">
        <v>-614.79999999999995</v>
      </c>
      <c r="R75" s="64">
        <v>-589.29999999999995</v>
      </c>
      <c r="S75" s="64">
        <v>-586</v>
      </c>
      <c r="T75" s="64">
        <v>-587</v>
      </c>
      <c r="U75" s="64">
        <v>-570.4</v>
      </c>
      <c r="V75" s="64">
        <v>-575</v>
      </c>
      <c r="W75" s="64">
        <v>-521</v>
      </c>
      <c r="X75" s="64">
        <v>-484</v>
      </c>
      <c r="Y75" s="64">
        <v>-493</v>
      </c>
      <c r="Z75" s="64">
        <v>-502</v>
      </c>
      <c r="AA75" s="64">
        <v>-494</v>
      </c>
      <c r="AB75" s="64">
        <v>-487.7</v>
      </c>
      <c r="AC75" s="64">
        <v>-520</v>
      </c>
      <c r="AD75" s="64">
        <v>-500</v>
      </c>
      <c r="AE75" s="64">
        <v>-550</v>
      </c>
      <c r="AF75" s="64">
        <v>-440</v>
      </c>
      <c r="AG75" s="74"/>
      <c r="AH75" s="47">
        <f t="shared" si="2"/>
        <v>-440</v>
      </c>
      <c r="AI75" s="48">
        <f t="shared" si="3"/>
        <v>-614.79999999999995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64"/>
      <c r="J76" s="64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64"/>
      <c r="F77" s="64"/>
      <c r="G77" s="64"/>
      <c r="H77" s="64"/>
      <c r="I77" s="64"/>
      <c r="J77" s="6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20">MAX(B77:AF77)</f>
        <v>0</v>
      </c>
      <c r="AI77" s="48">
        <f t="shared" ref="AI77:AI120" si="21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64"/>
      <c r="F78" s="64"/>
      <c r="G78" s="64"/>
      <c r="H78" s="64"/>
      <c r="I78" s="64"/>
      <c r="J78" s="64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20"/>
        <v>0</v>
      </c>
      <c r="AI78" s="48">
        <f t="shared" si="21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64"/>
      <c r="F79" s="64"/>
      <c r="G79" s="64"/>
      <c r="H79" s="64"/>
      <c r="I79" s="64"/>
      <c r="J79" s="64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20"/>
        <v>0</v>
      </c>
      <c r="AI79" s="48">
        <f t="shared" si="21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64"/>
      <c r="F80" s="64"/>
      <c r="G80" s="64"/>
      <c r="H80" s="64"/>
      <c r="I80" s="64"/>
      <c r="J80" s="64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20"/>
        <v>0</v>
      </c>
      <c r="AI80" s="48">
        <f t="shared" si="21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64"/>
      <c r="F81" s="64"/>
      <c r="G81" s="64"/>
      <c r="H81" s="64"/>
      <c r="I81" s="64"/>
      <c r="J81" s="64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20"/>
        <v>0</v>
      </c>
      <c r="AI81" s="48">
        <f t="shared" si="21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64"/>
      <c r="F82" s="64"/>
      <c r="G82" s="64"/>
      <c r="H82" s="64"/>
      <c r="I82" s="64"/>
      <c r="J82" s="64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20"/>
        <v>0</v>
      </c>
      <c r="AI82" s="48">
        <f t="shared" si="21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64"/>
      <c r="F83" s="64"/>
      <c r="G83" s="64"/>
      <c r="H83" s="64"/>
      <c r="I83" s="64"/>
      <c r="J83" s="64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20"/>
        <v>0</v>
      </c>
      <c r="AI83" s="48">
        <f t="shared" si="21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A84" si="22">SUMIF(B73:B83,"&gt;0")</f>
        <v>0</v>
      </c>
      <c r="C84" s="60">
        <f t="shared" si="22"/>
        <v>0</v>
      </c>
      <c r="D84" s="60">
        <f t="shared" si="22"/>
        <v>0</v>
      </c>
      <c r="E84" s="60">
        <f t="shared" si="22"/>
        <v>0</v>
      </c>
      <c r="F84" s="60">
        <f t="shared" si="22"/>
        <v>0</v>
      </c>
      <c r="G84" s="60">
        <f t="shared" si="22"/>
        <v>0</v>
      </c>
      <c r="H84" s="60">
        <f t="shared" si="22"/>
        <v>0</v>
      </c>
      <c r="I84" s="60">
        <f t="shared" si="22"/>
        <v>0</v>
      </c>
      <c r="J84" s="60">
        <f t="shared" si="22"/>
        <v>0</v>
      </c>
      <c r="K84" s="60">
        <f t="shared" si="22"/>
        <v>0</v>
      </c>
      <c r="L84" s="60">
        <f t="shared" si="22"/>
        <v>0</v>
      </c>
      <c r="M84" s="60">
        <f t="shared" si="22"/>
        <v>0</v>
      </c>
      <c r="N84" s="60">
        <f t="shared" si="22"/>
        <v>0</v>
      </c>
      <c r="O84" s="60">
        <f t="shared" si="22"/>
        <v>0</v>
      </c>
      <c r="P84" s="60">
        <f t="shared" si="22"/>
        <v>0</v>
      </c>
      <c r="Q84" s="60">
        <f t="shared" si="22"/>
        <v>0</v>
      </c>
      <c r="R84" s="60">
        <f t="shared" si="22"/>
        <v>0</v>
      </c>
      <c r="S84" s="60">
        <f t="shared" si="22"/>
        <v>0</v>
      </c>
      <c r="T84" s="60">
        <f t="shared" si="22"/>
        <v>0</v>
      </c>
      <c r="U84" s="60">
        <f t="shared" si="22"/>
        <v>0</v>
      </c>
      <c r="V84" s="60">
        <f t="shared" si="22"/>
        <v>10</v>
      </c>
      <c r="W84" s="60">
        <f t="shared" si="22"/>
        <v>0</v>
      </c>
      <c r="X84" s="60">
        <f t="shared" si="22"/>
        <v>0</v>
      </c>
      <c r="Y84" s="60">
        <f t="shared" si="22"/>
        <v>0</v>
      </c>
      <c r="Z84" s="60">
        <f t="shared" si="22"/>
        <v>0</v>
      </c>
      <c r="AA84" s="60">
        <f t="shared" si="22"/>
        <v>0</v>
      </c>
      <c r="AB84" s="60">
        <f t="shared" ref="AB84:AD84" si="23">SUMIF(AB73:AB83,"&gt;0")</f>
        <v>26.8</v>
      </c>
      <c r="AC84" s="60">
        <f t="shared" si="23"/>
        <v>26.8</v>
      </c>
      <c r="AD84" s="60">
        <f t="shared" si="23"/>
        <v>26.8</v>
      </c>
      <c r="AE84" s="60">
        <f t="shared" ref="AE84:AF84" si="24">SUMIF(AE73:AE83,"&gt;0")</f>
        <v>26.8</v>
      </c>
      <c r="AF84" s="60">
        <f t="shared" si="24"/>
        <v>26.8</v>
      </c>
      <c r="AG84" s="87">
        <f>SUM(AG73:AG83)</f>
        <v>0</v>
      </c>
      <c r="AH84" s="47">
        <f t="shared" si="20"/>
        <v>26.8</v>
      </c>
      <c r="AI84" s="48">
        <f t="shared" si="21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20"/>
        <v>0</v>
      </c>
      <c r="AI85" s="48">
        <f t="shared" si="21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20"/>
        <v>0</v>
      </c>
      <c r="AI86" s="48">
        <f t="shared" si="21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20"/>
        <v>0</v>
      </c>
      <c r="AI87" s="48">
        <f t="shared" si="21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20"/>
        <v>0</v>
      </c>
      <c r="AI88" s="48">
        <f t="shared" si="21"/>
        <v>0</v>
      </c>
    </row>
    <row r="89" spans="1:40" ht="15.75" thickBot="1" x14ac:dyDescent="0.3">
      <c r="A89" s="73" t="s">
        <v>100</v>
      </c>
      <c r="B89" s="94">
        <f t="shared" ref="B89:AG89" si="25">B50+B54+B72+B68+B84+B88</f>
        <v>1935.74</v>
      </c>
      <c r="C89" s="94">
        <f t="shared" si="25"/>
        <v>1915.74</v>
      </c>
      <c r="D89" s="94">
        <f t="shared" si="25"/>
        <v>1885.7400000000002</v>
      </c>
      <c r="E89" s="94">
        <f t="shared" si="25"/>
        <v>1895.7399999999998</v>
      </c>
      <c r="F89" s="94">
        <f t="shared" si="25"/>
        <v>1892.7399999999998</v>
      </c>
      <c r="G89" s="94">
        <f t="shared" si="25"/>
        <v>1917.7399999999998</v>
      </c>
      <c r="H89" s="94">
        <f t="shared" si="25"/>
        <v>1917.7399999999998</v>
      </c>
      <c r="I89" s="94">
        <f t="shared" si="25"/>
        <v>1917.7399999999998</v>
      </c>
      <c r="J89" s="94">
        <f t="shared" si="25"/>
        <v>1927.04</v>
      </c>
      <c r="K89" s="94">
        <f t="shared" si="25"/>
        <v>1967.04</v>
      </c>
      <c r="L89" s="94">
        <f t="shared" si="25"/>
        <v>1992.04</v>
      </c>
      <c r="M89" s="94">
        <f t="shared" si="25"/>
        <v>2136.2399999999998</v>
      </c>
      <c r="N89" s="94">
        <f t="shared" si="25"/>
        <v>2104.7399999999998</v>
      </c>
      <c r="O89" s="94">
        <f t="shared" si="25"/>
        <v>2086.4399999999996</v>
      </c>
      <c r="P89" s="94">
        <f t="shared" si="25"/>
        <v>2069.14</v>
      </c>
      <c r="Q89" s="94">
        <f t="shared" si="25"/>
        <v>2077.1400000000003</v>
      </c>
      <c r="R89" s="94">
        <f t="shared" si="25"/>
        <v>2051.14</v>
      </c>
      <c r="S89" s="94">
        <f t="shared" si="25"/>
        <v>2079.2399999999998</v>
      </c>
      <c r="T89" s="94">
        <f t="shared" si="25"/>
        <v>2049.64</v>
      </c>
      <c r="U89" s="94">
        <f t="shared" si="25"/>
        <v>2066.2399999999998</v>
      </c>
      <c r="V89" s="94">
        <f t="shared" si="25"/>
        <v>2018.94</v>
      </c>
      <c r="W89" s="94">
        <f t="shared" si="25"/>
        <v>2034.44</v>
      </c>
      <c r="X89" s="94">
        <f t="shared" si="25"/>
        <v>2118.34</v>
      </c>
      <c r="Y89" s="94">
        <f t="shared" si="25"/>
        <v>2093.04</v>
      </c>
      <c r="Z89" s="94">
        <f t="shared" si="25"/>
        <v>2050.9399999999996</v>
      </c>
      <c r="AA89" s="94">
        <f t="shared" si="25"/>
        <v>2034.3399999999997</v>
      </c>
      <c r="AB89" s="94">
        <f t="shared" ref="AB89:AD89" si="26">AB50+AB54+AB72+AB68+AB84+AB88</f>
        <v>1975.1399999999999</v>
      </c>
      <c r="AC89" s="94">
        <f t="shared" si="26"/>
        <v>1975.1399999999999</v>
      </c>
      <c r="AD89" s="94">
        <f t="shared" si="26"/>
        <v>1909.9399999999998</v>
      </c>
      <c r="AE89" s="94">
        <f t="shared" ref="AE89:AF89" si="27">AE50+AE54+AE72+AE68+AE84+AE88</f>
        <v>1768.74</v>
      </c>
      <c r="AF89" s="94">
        <f t="shared" si="27"/>
        <v>1615.34</v>
      </c>
      <c r="AG89" s="61">
        <f t="shared" si="25"/>
        <v>2111.5500000000002</v>
      </c>
      <c r="AH89" s="47">
        <f t="shared" si="20"/>
        <v>2136.2399999999998</v>
      </c>
      <c r="AI89" s="48">
        <f t="shared" si="21"/>
        <v>1615.34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20"/>
        <v>0</v>
      </c>
      <c r="AI90" s="48">
        <f t="shared" si="21"/>
        <v>0</v>
      </c>
    </row>
    <row r="91" spans="1:40" ht="15.75" thickBot="1" x14ac:dyDescent="0.3">
      <c r="A91" s="73" t="s">
        <v>102</v>
      </c>
      <c r="B91" s="94">
        <f t="shared" ref="B91:AA91" si="28">B89+B90</f>
        <v>1935.74</v>
      </c>
      <c r="C91" s="94">
        <f t="shared" si="28"/>
        <v>1915.74</v>
      </c>
      <c r="D91" s="94">
        <f t="shared" si="28"/>
        <v>1885.7400000000002</v>
      </c>
      <c r="E91" s="94">
        <f t="shared" si="28"/>
        <v>1895.7399999999998</v>
      </c>
      <c r="F91" s="94">
        <f t="shared" si="28"/>
        <v>1892.7399999999998</v>
      </c>
      <c r="G91" s="94">
        <f t="shared" si="28"/>
        <v>1917.7399999999998</v>
      </c>
      <c r="H91" s="94">
        <f t="shared" si="28"/>
        <v>1917.7399999999998</v>
      </c>
      <c r="I91" s="94">
        <f t="shared" si="28"/>
        <v>1917.7399999999998</v>
      </c>
      <c r="J91" s="94">
        <f t="shared" si="28"/>
        <v>1927.04</v>
      </c>
      <c r="K91" s="94">
        <f t="shared" si="28"/>
        <v>1967.04</v>
      </c>
      <c r="L91" s="94">
        <f t="shared" si="28"/>
        <v>1992.04</v>
      </c>
      <c r="M91" s="94">
        <f t="shared" si="28"/>
        <v>2136.2399999999998</v>
      </c>
      <c r="N91" s="94">
        <f t="shared" si="28"/>
        <v>2104.7399999999998</v>
      </c>
      <c r="O91" s="94">
        <f t="shared" si="28"/>
        <v>2086.4399999999996</v>
      </c>
      <c r="P91" s="94">
        <f t="shared" si="28"/>
        <v>2069.14</v>
      </c>
      <c r="Q91" s="94">
        <f t="shared" si="28"/>
        <v>2077.1400000000003</v>
      </c>
      <c r="R91" s="94">
        <f t="shared" si="28"/>
        <v>2051.14</v>
      </c>
      <c r="S91" s="94">
        <f t="shared" si="28"/>
        <v>2079.2399999999998</v>
      </c>
      <c r="T91" s="94">
        <f t="shared" si="28"/>
        <v>2049.64</v>
      </c>
      <c r="U91" s="94">
        <f t="shared" si="28"/>
        <v>2066.2399999999998</v>
      </c>
      <c r="V91" s="94">
        <f t="shared" si="28"/>
        <v>2018.94</v>
      </c>
      <c r="W91" s="94">
        <f t="shared" si="28"/>
        <v>2034.44</v>
      </c>
      <c r="X91" s="94">
        <f t="shared" si="28"/>
        <v>2118.34</v>
      </c>
      <c r="Y91" s="94">
        <f t="shared" si="28"/>
        <v>2093.04</v>
      </c>
      <c r="Z91" s="94">
        <f t="shared" si="28"/>
        <v>2050.9399999999996</v>
      </c>
      <c r="AA91" s="94">
        <f t="shared" si="28"/>
        <v>2034.3399999999997</v>
      </c>
      <c r="AB91" s="94">
        <f t="shared" ref="AB91:AD91" si="29">AB89+AB90</f>
        <v>1975.1399999999999</v>
      </c>
      <c r="AC91" s="94">
        <f t="shared" si="29"/>
        <v>1975.1399999999999</v>
      </c>
      <c r="AD91" s="94">
        <f t="shared" si="29"/>
        <v>1909.9399999999998</v>
      </c>
      <c r="AE91" s="94">
        <f t="shared" ref="AE91:AF91" si="30">AE89+AE90</f>
        <v>1768.74</v>
      </c>
      <c r="AF91" s="94">
        <f t="shared" si="30"/>
        <v>1615.34</v>
      </c>
      <c r="AG91" s="87">
        <f>AG88+AG84+AG72+AG68+AG50+AG90</f>
        <v>1573.45</v>
      </c>
      <c r="AH91" s="47">
        <f t="shared" si="20"/>
        <v>2136.2399999999998</v>
      </c>
      <c r="AI91" s="48">
        <f t="shared" si="21"/>
        <v>1615.34</v>
      </c>
    </row>
    <row r="92" spans="1:40" ht="15.75" thickBot="1" x14ac:dyDescent="0.3">
      <c r="A92" s="73" t="s">
        <v>103</v>
      </c>
      <c r="B92" s="94">
        <f>B91-(-B99)</f>
        <v>1418.74</v>
      </c>
      <c r="C92" s="94">
        <f t="shared" ref="C92:AA92" si="31">C91-(-C99)</f>
        <v>1385.74</v>
      </c>
      <c r="D92" s="94">
        <f t="shared" si="31"/>
        <v>1385.7400000000002</v>
      </c>
      <c r="E92" s="94">
        <f t="shared" si="31"/>
        <v>1375.7399999999998</v>
      </c>
      <c r="F92" s="94">
        <f t="shared" si="31"/>
        <v>1371.7399999999998</v>
      </c>
      <c r="G92" s="94">
        <f t="shared" si="31"/>
        <v>1385.7399999999998</v>
      </c>
      <c r="H92" s="94">
        <f t="shared" si="31"/>
        <v>1387.7399999999998</v>
      </c>
      <c r="I92" s="94">
        <f t="shared" si="31"/>
        <v>1399.7399999999998</v>
      </c>
      <c r="J92" s="94">
        <f t="shared" si="31"/>
        <v>1408.04</v>
      </c>
      <c r="K92" s="94">
        <f t="shared" si="31"/>
        <v>1449.04</v>
      </c>
      <c r="L92" s="94">
        <f t="shared" si="31"/>
        <v>1472.04</v>
      </c>
      <c r="M92" s="94">
        <f t="shared" si="31"/>
        <v>1555.6399999999999</v>
      </c>
      <c r="N92" s="94">
        <f t="shared" si="31"/>
        <v>1534.4399999999998</v>
      </c>
      <c r="O92" s="94">
        <f t="shared" si="31"/>
        <v>1486.4399999999996</v>
      </c>
      <c r="P92" s="94">
        <f t="shared" si="31"/>
        <v>1501.1399999999999</v>
      </c>
      <c r="Q92" s="94">
        <f t="shared" si="31"/>
        <v>1462.3400000000004</v>
      </c>
      <c r="R92" s="94">
        <f t="shared" si="31"/>
        <v>1461.84</v>
      </c>
      <c r="S92" s="94">
        <f t="shared" si="31"/>
        <v>1493.2399999999998</v>
      </c>
      <c r="T92" s="94">
        <f t="shared" si="31"/>
        <v>1462.6399999999999</v>
      </c>
      <c r="U92" s="94">
        <f t="shared" si="31"/>
        <v>1495.8399999999997</v>
      </c>
      <c r="V92" s="94">
        <f t="shared" si="31"/>
        <v>1443.94</v>
      </c>
      <c r="W92" s="94">
        <f t="shared" si="31"/>
        <v>1513.44</v>
      </c>
      <c r="X92" s="94">
        <f t="shared" si="31"/>
        <v>1634.3400000000001</v>
      </c>
      <c r="Y92" s="94">
        <f t="shared" si="31"/>
        <v>1600.04</v>
      </c>
      <c r="Z92" s="94">
        <f t="shared" si="31"/>
        <v>1548.9399999999996</v>
      </c>
      <c r="AA92" s="94">
        <f t="shared" si="31"/>
        <v>1540.3399999999997</v>
      </c>
      <c r="AB92" s="94">
        <f t="shared" ref="AB92:AD92" si="32">AB91-(-AB99)</f>
        <v>1487.4399999999998</v>
      </c>
      <c r="AC92" s="94">
        <f t="shared" si="32"/>
        <v>1455.1399999999999</v>
      </c>
      <c r="AD92" s="94">
        <f t="shared" si="32"/>
        <v>1409.9399999999998</v>
      </c>
      <c r="AE92" s="94">
        <f t="shared" ref="AE92:AF92" si="33">AE91-(-AE99)</f>
        <v>1218.74</v>
      </c>
      <c r="AF92" s="94">
        <f t="shared" si="33"/>
        <v>1175.3399999999999</v>
      </c>
      <c r="AG92" s="87"/>
      <c r="AH92" s="47">
        <f t="shared" si="20"/>
        <v>1634.3400000000001</v>
      </c>
      <c r="AI92" s="48">
        <f t="shared" si="21"/>
        <v>1175.3399999999999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20"/>
        <v>0</v>
      </c>
      <c r="AI93" s="48">
        <f t="shared" si="21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20"/>
        <v>0</v>
      </c>
      <c r="AI94" s="48">
        <f t="shared" si="21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20"/>
        <v>0</v>
      </c>
      <c r="AI95" s="48">
        <f t="shared" si="21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20"/>
        <v>0</v>
      </c>
      <c r="AI96" s="48">
        <f t="shared" si="21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20"/>
        <v>0</v>
      </c>
      <c r="AI97" s="48">
        <f t="shared" si="21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20"/>
        <v>0</v>
      </c>
      <c r="AI98" s="48">
        <f t="shared" si="21"/>
        <v>0</v>
      </c>
    </row>
    <row r="99" spans="1:37" ht="15.75" thickBot="1" x14ac:dyDescent="0.3">
      <c r="A99" s="98" t="s">
        <v>107</v>
      </c>
      <c r="B99" s="60">
        <f>B75</f>
        <v>-517</v>
      </c>
      <c r="C99" s="60">
        <f t="shared" ref="C99:AA99" si="34">C75</f>
        <v>-530</v>
      </c>
      <c r="D99" s="60">
        <f t="shared" si="34"/>
        <v>-500</v>
      </c>
      <c r="E99" s="60">
        <f t="shared" si="34"/>
        <v>-520</v>
      </c>
      <c r="F99" s="60">
        <f t="shared" si="34"/>
        <v>-521</v>
      </c>
      <c r="G99" s="60">
        <f t="shared" si="34"/>
        <v>-532</v>
      </c>
      <c r="H99" s="60">
        <f t="shared" si="34"/>
        <v>-530</v>
      </c>
      <c r="I99" s="60">
        <f t="shared" si="34"/>
        <v>-518</v>
      </c>
      <c r="J99" s="60">
        <f t="shared" si="34"/>
        <v>-519</v>
      </c>
      <c r="K99" s="60">
        <f t="shared" si="34"/>
        <v>-518</v>
      </c>
      <c r="L99" s="60">
        <f t="shared" si="34"/>
        <v>-520</v>
      </c>
      <c r="M99" s="60">
        <f t="shared" si="34"/>
        <v>-580.6</v>
      </c>
      <c r="N99" s="60">
        <f t="shared" si="34"/>
        <v>-570.29999999999995</v>
      </c>
      <c r="O99" s="60">
        <f t="shared" si="34"/>
        <v>-600</v>
      </c>
      <c r="P99" s="60">
        <f t="shared" si="34"/>
        <v>-568</v>
      </c>
      <c r="Q99" s="60">
        <f t="shared" si="34"/>
        <v>-614.79999999999995</v>
      </c>
      <c r="R99" s="60">
        <f t="shared" si="34"/>
        <v>-589.29999999999995</v>
      </c>
      <c r="S99" s="60">
        <f t="shared" si="34"/>
        <v>-586</v>
      </c>
      <c r="T99" s="60">
        <f t="shared" si="34"/>
        <v>-587</v>
      </c>
      <c r="U99" s="60">
        <f t="shared" si="34"/>
        <v>-570.4</v>
      </c>
      <c r="V99" s="60">
        <f t="shared" si="34"/>
        <v>-575</v>
      </c>
      <c r="W99" s="60">
        <f t="shared" si="34"/>
        <v>-521</v>
      </c>
      <c r="X99" s="60">
        <f t="shared" si="34"/>
        <v>-484</v>
      </c>
      <c r="Y99" s="60">
        <f t="shared" si="34"/>
        <v>-493</v>
      </c>
      <c r="Z99" s="60">
        <f t="shared" si="34"/>
        <v>-502</v>
      </c>
      <c r="AA99" s="60">
        <f t="shared" si="34"/>
        <v>-494</v>
      </c>
      <c r="AB99" s="60">
        <f t="shared" ref="AB99:AD99" si="35">AB75</f>
        <v>-487.7</v>
      </c>
      <c r="AC99" s="60">
        <f t="shared" si="35"/>
        <v>-520</v>
      </c>
      <c r="AD99" s="60">
        <f t="shared" si="35"/>
        <v>-500</v>
      </c>
      <c r="AE99" s="60">
        <f t="shared" ref="AE99:AF99" si="36">AE75</f>
        <v>-550</v>
      </c>
      <c r="AF99" s="60">
        <f t="shared" si="36"/>
        <v>-440</v>
      </c>
      <c r="AG99" s="87"/>
      <c r="AH99" s="47">
        <f t="shared" si="20"/>
        <v>-440</v>
      </c>
      <c r="AI99" s="48">
        <f t="shared" si="21"/>
        <v>-614.79999999999995</v>
      </c>
      <c r="AK99" s="50"/>
    </row>
    <row r="100" spans="1:37" ht="15.75" thickBot="1" x14ac:dyDescent="0.3">
      <c r="A100" s="73" t="s">
        <v>108</v>
      </c>
      <c r="B100" s="60">
        <f t="shared" ref="B100:AA100" si="37">B84-B99</f>
        <v>517</v>
      </c>
      <c r="C100" s="60">
        <f t="shared" si="37"/>
        <v>530</v>
      </c>
      <c r="D100" s="60">
        <f t="shared" si="37"/>
        <v>500</v>
      </c>
      <c r="E100" s="60">
        <f t="shared" si="37"/>
        <v>520</v>
      </c>
      <c r="F100" s="60">
        <f t="shared" si="37"/>
        <v>521</v>
      </c>
      <c r="G100" s="60">
        <f t="shared" si="37"/>
        <v>532</v>
      </c>
      <c r="H100" s="60">
        <f t="shared" si="37"/>
        <v>530</v>
      </c>
      <c r="I100" s="60">
        <f t="shared" si="37"/>
        <v>518</v>
      </c>
      <c r="J100" s="60">
        <f t="shared" si="37"/>
        <v>519</v>
      </c>
      <c r="K100" s="60">
        <f t="shared" si="37"/>
        <v>518</v>
      </c>
      <c r="L100" s="60">
        <f t="shared" si="37"/>
        <v>520</v>
      </c>
      <c r="M100" s="60">
        <f t="shared" si="37"/>
        <v>580.6</v>
      </c>
      <c r="N100" s="60">
        <f t="shared" si="37"/>
        <v>570.29999999999995</v>
      </c>
      <c r="O100" s="60">
        <f t="shared" si="37"/>
        <v>600</v>
      </c>
      <c r="P100" s="60">
        <f t="shared" si="37"/>
        <v>568</v>
      </c>
      <c r="Q100" s="60">
        <f t="shared" si="37"/>
        <v>614.79999999999995</v>
      </c>
      <c r="R100" s="60">
        <f t="shared" si="37"/>
        <v>589.29999999999995</v>
      </c>
      <c r="S100" s="60">
        <f t="shared" si="37"/>
        <v>586</v>
      </c>
      <c r="T100" s="60">
        <f t="shared" si="37"/>
        <v>587</v>
      </c>
      <c r="U100" s="60">
        <f t="shared" si="37"/>
        <v>570.4</v>
      </c>
      <c r="V100" s="60">
        <f t="shared" si="37"/>
        <v>585</v>
      </c>
      <c r="W100" s="60">
        <f t="shared" si="37"/>
        <v>521</v>
      </c>
      <c r="X100" s="60">
        <f t="shared" si="37"/>
        <v>484</v>
      </c>
      <c r="Y100" s="60">
        <f t="shared" si="37"/>
        <v>493</v>
      </c>
      <c r="Z100" s="60">
        <f t="shared" si="37"/>
        <v>502</v>
      </c>
      <c r="AA100" s="60">
        <f t="shared" si="37"/>
        <v>494</v>
      </c>
      <c r="AB100" s="60">
        <f t="shared" ref="AB100:AD100" si="38">AB84-AB99</f>
        <v>514.5</v>
      </c>
      <c r="AC100" s="60">
        <f t="shared" si="38"/>
        <v>546.79999999999995</v>
      </c>
      <c r="AD100" s="60">
        <f t="shared" si="38"/>
        <v>526.79999999999995</v>
      </c>
      <c r="AE100" s="60">
        <f t="shared" ref="AE100:AF100" si="39">AE84-AE99</f>
        <v>576.79999999999995</v>
      </c>
      <c r="AF100" s="60">
        <f t="shared" si="39"/>
        <v>466.8</v>
      </c>
      <c r="AG100" s="87"/>
      <c r="AH100" s="47">
        <f t="shared" si="20"/>
        <v>614.79999999999995</v>
      </c>
      <c r="AI100" s="48">
        <f t="shared" si="21"/>
        <v>466.8</v>
      </c>
    </row>
    <row r="101" spans="1:37" x14ac:dyDescent="0.25">
      <c r="A101" s="99" t="s">
        <v>109</v>
      </c>
      <c r="B101" s="100">
        <v>50.055999999999997</v>
      </c>
      <c r="C101" s="100">
        <v>50.024000000000001</v>
      </c>
      <c r="D101" s="100">
        <v>49.99</v>
      </c>
      <c r="E101" s="100">
        <v>49.97</v>
      </c>
      <c r="F101" s="100">
        <v>49.99</v>
      </c>
      <c r="G101" s="100">
        <v>49.98</v>
      </c>
      <c r="H101" s="100">
        <v>50.1</v>
      </c>
      <c r="I101" s="100">
        <v>50.12</v>
      </c>
      <c r="J101" s="100">
        <v>49.98</v>
      </c>
      <c r="K101" s="100">
        <v>50.01</v>
      </c>
      <c r="L101" s="100">
        <v>49.95</v>
      </c>
      <c r="M101" s="100">
        <v>49.972999999999999</v>
      </c>
      <c r="N101" s="100">
        <v>50.015000000000001</v>
      </c>
      <c r="O101" s="100">
        <v>50.015000000000001</v>
      </c>
      <c r="P101" s="100">
        <v>50.018000000000001</v>
      </c>
      <c r="Q101" s="100">
        <v>50.015000000000001</v>
      </c>
      <c r="R101" s="100">
        <v>49.993000000000002</v>
      </c>
      <c r="S101" s="100">
        <v>49.725000000000001</v>
      </c>
      <c r="T101" s="100">
        <v>49.557000000000002</v>
      </c>
      <c r="U101" s="100">
        <v>49.866999999999997</v>
      </c>
      <c r="V101" s="100">
        <v>50.156999999999996</v>
      </c>
      <c r="W101" s="100">
        <v>50.003999999999998</v>
      </c>
      <c r="X101" s="100">
        <v>49.997999999999998</v>
      </c>
      <c r="Y101" s="100">
        <v>50.051000000000002</v>
      </c>
      <c r="Z101" s="100">
        <v>50.061999999999998</v>
      </c>
      <c r="AA101" s="100"/>
      <c r="AB101" s="100">
        <v>50.09</v>
      </c>
      <c r="AC101" s="100">
        <v>50.08</v>
      </c>
      <c r="AD101" s="100">
        <v>50.09</v>
      </c>
      <c r="AE101" s="100">
        <v>50</v>
      </c>
      <c r="AF101" s="100">
        <v>50.01</v>
      </c>
      <c r="AG101" s="101"/>
      <c r="AH101" s="47">
        <f t="shared" si="20"/>
        <v>50.156999999999996</v>
      </c>
      <c r="AI101" s="48">
        <f t="shared" si="21"/>
        <v>49.557000000000002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20"/>
        <v>0</v>
      </c>
      <c r="AI102" s="48">
        <f t="shared" si="21"/>
        <v>0</v>
      </c>
    </row>
    <row r="103" spans="1:37" x14ac:dyDescent="0.25">
      <c r="A103" s="102" t="s">
        <v>111</v>
      </c>
      <c r="B103" s="64">
        <v>129.69999999999999</v>
      </c>
      <c r="C103" s="64">
        <v>130</v>
      </c>
      <c r="D103" s="64">
        <v>130</v>
      </c>
      <c r="E103" s="64">
        <v>130</v>
      </c>
      <c r="F103" s="64">
        <v>130</v>
      </c>
      <c r="G103" s="64">
        <v>130</v>
      </c>
      <c r="H103" s="64">
        <v>130</v>
      </c>
      <c r="I103" s="64">
        <v>130</v>
      </c>
      <c r="J103" s="64">
        <v>127.6</v>
      </c>
      <c r="K103" s="64">
        <v>127.2</v>
      </c>
      <c r="L103" s="64">
        <v>127.3</v>
      </c>
      <c r="M103" s="64">
        <v>125.3</v>
      </c>
      <c r="N103" s="64">
        <v>126.1</v>
      </c>
      <c r="O103" s="64">
        <v>126.1</v>
      </c>
      <c r="P103" s="64">
        <v>126.1</v>
      </c>
      <c r="Q103" s="64">
        <v>127</v>
      </c>
      <c r="R103" s="64">
        <v>127.7</v>
      </c>
      <c r="S103" s="64">
        <v>127.2</v>
      </c>
      <c r="T103" s="64">
        <v>126.3</v>
      </c>
      <c r="U103" s="64">
        <v>126.7</v>
      </c>
      <c r="V103" s="64">
        <v>128.69999999999999</v>
      </c>
      <c r="W103" s="64">
        <v>127.7</v>
      </c>
      <c r="X103" s="64">
        <v>129.30000000000001</v>
      </c>
      <c r="Y103" s="64">
        <v>129.4</v>
      </c>
      <c r="Z103" s="64">
        <v>129.4</v>
      </c>
      <c r="AA103" s="64"/>
      <c r="AB103" s="64">
        <v>129.69999999999999</v>
      </c>
      <c r="AC103" s="64">
        <v>129.69999999999999</v>
      </c>
      <c r="AD103" s="64">
        <v>129.69999999999999</v>
      </c>
      <c r="AE103" s="64">
        <v>129.69999999999999</v>
      </c>
      <c r="AF103" s="64">
        <v>130.6</v>
      </c>
      <c r="AG103" s="103"/>
      <c r="AH103" s="47">
        <f t="shared" si="20"/>
        <v>130.6</v>
      </c>
      <c r="AI103" s="48">
        <f t="shared" si="21"/>
        <v>125.3</v>
      </c>
    </row>
    <row r="104" spans="1:37" x14ac:dyDescent="0.25">
      <c r="A104" s="102" t="s">
        <v>112</v>
      </c>
      <c r="B104" s="64">
        <v>133.19999999999999</v>
      </c>
      <c r="C104" s="64">
        <v>134</v>
      </c>
      <c r="D104" s="64">
        <v>130.19999999999999</v>
      </c>
      <c r="E104" s="64">
        <v>130.19999999999999</v>
      </c>
      <c r="F104" s="64">
        <v>130.19999999999999</v>
      </c>
      <c r="G104" s="64">
        <v>130.19999999999999</v>
      </c>
      <c r="H104" s="64">
        <v>130.19999999999999</v>
      </c>
      <c r="I104" s="64">
        <v>130.19999999999999</v>
      </c>
      <c r="J104" s="64">
        <v>130.19999999999999</v>
      </c>
      <c r="K104" s="64">
        <v>127</v>
      </c>
      <c r="L104" s="64">
        <v>126.5</v>
      </c>
      <c r="M104" s="64">
        <v>125.7</v>
      </c>
      <c r="N104" s="64">
        <v>128.19999999999999</v>
      </c>
      <c r="O104" s="64">
        <v>128.19999999999999</v>
      </c>
      <c r="P104" s="64">
        <v>127.6</v>
      </c>
      <c r="Q104" s="64">
        <v>127.9</v>
      </c>
      <c r="R104" s="64">
        <v>128.30000000000001</v>
      </c>
      <c r="S104" s="64">
        <v>126.3</v>
      </c>
      <c r="T104" s="64">
        <v>126.5</v>
      </c>
      <c r="U104" s="64">
        <v>128.6</v>
      </c>
      <c r="V104" s="64">
        <v>130.69999999999999</v>
      </c>
      <c r="W104" s="64">
        <v>127.7</v>
      </c>
      <c r="X104" s="64">
        <v>127</v>
      </c>
      <c r="Y104" s="64">
        <v>130.19999999999999</v>
      </c>
      <c r="Z104" s="64">
        <v>130.69999999999999</v>
      </c>
      <c r="AA104" s="64"/>
      <c r="AB104" s="64">
        <v>130.9</v>
      </c>
      <c r="AC104" s="64">
        <v>130.9</v>
      </c>
      <c r="AD104" s="64">
        <v>130.9</v>
      </c>
      <c r="AE104" s="64">
        <v>130.9</v>
      </c>
      <c r="AF104" s="64">
        <v>129</v>
      </c>
      <c r="AG104" s="103"/>
      <c r="AH104" s="47">
        <f t="shared" si="20"/>
        <v>134</v>
      </c>
      <c r="AI104" s="48">
        <f t="shared" si="21"/>
        <v>125.7</v>
      </c>
    </row>
    <row r="105" spans="1:37" x14ac:dyDescent="0.25">
      <c r="A105" s="104" t="s">
        <v>113</v>
      </c>
      <c r="B105" s="64">
        <v>133.12</v>
      </c>
      <c r="C105" s="64">
        <v>134</v>
      </c>
      <c r="D105" s="64">
        <v>132</v>
      </c>
      <c r="E105" s="64">
        <v>132</v>
      </c>
      <c r="F105" s="64">
        <v>132</v>
      </c>
      <c r="G105" s="64">
        <v>132</v>
      </c>
      <c r="H105" s="64">
        <v>132</v>
      </c>
      <c r="I105" s="64">
        <v>132</v>
      </c>
      <c r="J105" s="64">
        <v>132</v>
      </c>
      <c r="K105" s="64">
        <v>130.30000000000001</v>
      </c>
      <c r="L105" s="64">
        <v>130.30000000000001</v>
      </c>
      <c r="M105" s="64">
        <v>128.5</v>
      </c>
      <c r="N105" s="64">
        <v>130.9</v>
      </c>
      <c r="O105" s="64">
        <v>130.9</v>
      </c>
      <c r="P105" s="64">
        <v>129.69999999999999</v>
      </c>
      <c r="Q105" s="64">
        <v>130.4</v>
      </c>
      <c r="R105" s="64">
        <v>130.30000000000001</v>
      </c>
      <c r="S105" s="64">
        <v>130</v>
      </c>
      <c r="T105" s="64">
        <v>129.4</v>
      </c>
      <c r="U105" s="64">
        <v>130.80000000000001</v>
      </c>
      <c r="V105" s="64">
        <v>133.6</v>
      </c>
      <c r="W105" s="64">
        <v>130.4</v>
      </c>
      <c r="X105" s="64">
        <v>129.4</v>
      </c>
      <c r="Y105" s="64">
        <v>133.1</v>
      </c>
      <c r="Z105" s="64">
        <v>134</v>
      </c>
      <c r="AA105" s="64"/>
      <c r="AB105" s="64">
        <v>132.4</v>
      </c>
      <c r="AC105" s="64">
        <v>132.4</v>
      </c>
      <c r="AD105" s="64">
        <v>132.4</v>
      </c>
      <c r="AE105" s="64">
        <v>132.4</v>
      </c>
      <c r="AF105" s="64">
        <v>131</v>
      </c>
      <c r="AG105" s="103"/>
      <c r="AH105" s="47">
        <f t="shared" si="20"/>
        <v>134</v>
      </c>
      <c r="AI105" s="48">
        <f t="shared" si="21"/>
        <v>128.5</v>
      </c>
    </row>
    <row r="106" spans="1:37" x14ac:dyDescent="0.25">
      <c r="A106" s="104" t="s">
        <v>114</v>
      </c>
      <c r="B106" s="105">
        <v>131.6</v>
      </c>
      <c r="C106" s="105">
        <v>134</v>
      </c>
      <c r="D106" s="105">
        <v>133.4</v>
      </c>
      <c r="E106" s="105">
        <v>133.4</v>
      </c>
      <c r="F106" s="105">
        <v>133.4</v>
      </c>
      <c r="G106" s="105">
        <v>133.4</v>
      </c>
      <c r="H106" s="105">
        <v>133.4</v>
      </c>
      <c r="I106" s="105">
        <v>133.4</v>
      </c>
      <c r="J106" s="105">
        <v>133.4</v>
      </c>
      <c r="K106" s="105">
        <v>130.6</v>
      </c>
      <c r="L106" s="105">
        <v>127.5</v>
      </c>
      <c r="M106" s="105">
        <v>133.80000000000001</v>
      </c>
      <c r="N106" s="105">
        <v>133.30000000000001</v>
      </c>
      <c r="O106" s="105">
        <v>133.30000000000001</v>
      </c>
      <c r="P106" s="105">
        <v>132.80000000000001</v>
      </c>
      <c r="Q106" s="105">
        <v>134</v>
      </c>
      <c r="R106" s="105">
        <v>130.80000000000001</v>
      </c>
      <c r="S106" s="105">
        <v>131.6</v>
      </c>
      <c r="T106" s="105">
        <v>134</v>
      </c>
      <c r="U106" s="105">
        <v>134.5</v>
      </c>
      <c r="V106" s="105">
        <v>136.19999999999999</v>
      </c>
      <c r="W106" s="105">
        <v>131.1</v>
      </c>
      <c r="X106" s="105">
        <v>133.9</v>
      </c>
      <c r="Y106" s="105">
        <v>130.4</v>
      </c>
      <c r="Z106" s="105">
        <v>134.80000000000001</v>
      </c>
      <c r="AA106" s="105"/>
      <c r="AB106" s="105">
        <v>133.6</v>
      </c>
      <c r="AC106" s="105">
        <v>133.6</v>
      </c>
      <c r="AD106" s="105">
        <v>133.6</v>
      </c>
      <c r="AE106" s="105">
        <v>133.6</v>
      </c>
      <c r="AF106" s="105">
        <v>133</v>
      </c>
      <c r="AG106" s="106"/>
      <c r="AH106" s="47">
        <f t="shared" si="20"/>
        <v>136.19999999999999</v>
      </c>
      <c r="AI106" s="48">
        <f t="shared" si="21"/>
        <v>127.5</v>
      </c>
    </row>
    <row r="107" spans="1:37" x14ac:dyDescent="0.25">
      <c r="A107" s="102" t="s">
        <v>115</v>
      </c>
      <c r="B107" s="64">
        <v>128.30000000000001</v>
      </c>
      <c r="C107" s="64">
        <v>132.1</v>
      </c>
      <c r="D107" s="64">
        <v>132</v>
      </c>
      <c r="E107" s="64">
        <v>132</v>
      </c>
      <c r="F107" s="64">
        <v>132</v>
      </c>
      <c r="G107" s="64">
        <v>132</v>
      </c>
      <c r="H107" s="64">
        <v>132</v>
      </c>
      <c r="I107" s="64">
        <v>132</v>
      </c>
      <c r="J107" s="64">
        <v>132</v>
      </c>
      <c r="K107" s="64">
        <v>130.19999999999999</v>
      </c>
      <c r="L107" s="64">
        <v>130.69999999999999</v>
      </c>
      <c r="M107" s="64">
        <v>132.5</v>
      </c>
      <c r="N107" s="64">
        <v>132</v>
      </c>
      <c r="O107" s="64">
        <v>132</v>
      </c>
      <c r="P107" s="64">
        <v>128.80000000000001</v>
      </c>
      <c r="Q107" s="64">
        <v>132.80000000000001</v>
      </c>
      <c r="R107" s="64">
        <v>127.7</v>
      </c>
      <c r="S107" s="64">
        <v>132.5</v>
      </c>
      <c r="T107" s="64">
        <v>136.5</v>
      </c>
      <c r="U107" s="64">
        <v>135</v>
      </c>
      <c r="V107" s="64">
        <v>135.6</v>
      </c>
      <c r="W107" s="64">
        <v>134.69999999999999</v>
      </c>
      <c r="X107" s="64">
        <v>0</v>
      </c>
      <c r="Y107" s="64">
        <v>135.30000000000001</v>
      </c>
      <c r="Z107" s="64">
        <v>138.6</v>
      </c>
      <c r="AA107" s="64"/>
      <c r="AB107" s="64">
        <v>139.69999999999999</v>
      </c>
      <c r="AC107" s="64">
        <v>139.69999999999999</v>
      </c>
      <c r="AD107" s="64">
        <v>139.69999999999999</v>
      </c>
      <c r="AE107" s="64">
        <v>139.69999999999999</v>
      </c>
      <c r="AF107" s="64">
        <v>136</v>
      </c>
      <c r="AG107" s="103"/>
      <c r="AH107" s="47">
        <f t="shared" si="20"/>
        <v>139.69999999999999</v>
      </c>
      <c r="AI107" s="48">
        <f t="shared" si="21"/>
        <v>0</v>
      </c>
    </row>
    <row r="108" spans="1:37" ht="15.75" thickBot="1" x14ac:dyDescent="0.3">
      <c r="A108" s="102" t="s">
        <v>116</v>
      </c>
      <c r="B108" s="91">
        <v>64.900000000000006</v>
      </c>
      <c r="C108" s="91">
        <v>65.599999999999994</v>
      </c>
      <c r="D108" s="91">
        <v>65.3</v>
      </c>
      <c r="E108" s="91">
        <v>65.3</v>
      </c>
      <c r="F108" s="91">
        <v>65.3</v>
      </c>
      <c r="G108" s="91">
        <v>65.3</v>
      </c>
      <c r="H108" s="91">
        <v>65.3</v>
      </c>
      <c r="I108" s="91">
        <v>65.3</v>
      </c>
      <c r="J108" s="91">
        <v>65.3</v>
      </c>
      <c r="K108" s="91">
        <v>63.5</v>
      </c>
      <c r="L108" s="91">
        <v>64</v>
      </c>
      <c r="M108" s="91">
        <v>62.4</v>
      </c>
      <c r="N108" s="91">
        <v>63</v>
      </c>
      <c r="O108" s="91">
        <v>63</v>
      </c>
      <c r="P108" s="91">
        <v>63.2</v>
      </c>
      <c r="Q108" s="91">
        <v>63.7</v>
      </c>
      <c r="R108" s="91">
        <v>64.099999999999994</v>
      </c>
      <c r="S108" s="91">
        <v>63.7</v>
      </c>
      <c r="T108" s="91">
        <v>63.2</v>
      </c>
      <c r="U108" s="91">
        <v>63.5</v>
      </c>
      <c r="V108" s="91">
        <v>64.599999999999994</v>
      </c>
      <c r="W108" s="91">
        <v>64.099999999999994</v>
      </c>
      <c r="X108" s="91">
        <v>65.400000000000006</v>
      </c>
      <c r="Y108" s="91">
        <v>65</v>
      </c>
      <c r="Z108" s="91">
        <v>65.2</v>
      </c>
      <c r="AA108" s="91"/>
      <c r="AB108" s="91">
        <v>65.3</v>
      </c>
      <c r="AC108" s="91">
        <v>65.3</v>
      </c>
      <c r="AD108" s="91">
        <v>65.3</v>
      </c>
      <c r="AE108" s="91">
        <v>65.3</v>
      </c>
      <c r="AF108" s="91">
        <v>65.5</v>
      </c>
      <c r="AG108" s="107"/>
      <c r="AH108" s="47">
        <f t="shared" si="20"/>
        <v>65.599999999999994</v>
      </c>
      <c r="AI108" s="48">
        <f t="shared" si="21"/>
        <v>62.4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20"/>
        <v>0</v>
      </c>
      <c r="AI109" s="48">
        <f t="shared" si="21"/>
        <v>0</v>
      </c>
    </row>
    <row r="110" spans="1:37" ht="15.75" thickBot="1" x14ac:dyDescent="0.3">
      <c r="A110" s="109" t="s">
        <v>118</v>
      </c>
      <c r="B110" s="110">
        <f t="shared" ref="B110:O110" si="40">SUM(B20,B26,B29:B30,B58,B60:B61,B63,B65,B111:B115,B138,B144,B150,B159,B161,B173,B180,B183:B184,B191,B193,B195,B199:B201,B203:B205,B210,B216:B217,B219:B221,B229,B234)</f>
        <v>16.199999999999982</v>
      </c>
      <c r="C110" s="110">
        <f t="shared" si="40"/>
        <v>11.840000000000007</v>
      </c>
      <c r="D110" s="110">
        <f t="shared" si="40"/>
        <v>29.13999999999999</v>
      </c>
      <c r="E110" s="110">
        <f t="shared" si="40"/>
        <v>29.13999999999999</v>
      </c>
      <c r="F110" s="110">
        <f t="shared" si="40"/>
        <v>29.13999999999999</v>
      </c>
      <c r="G110" s="110">
        <f t="shared" si="40"/>
        <v>29.13999999999999</v>
      </c>
      <c r="H110" s="110">
        <f t="shared" si="40"/>
        <v>29.13999999999999</v>
      </c>
      <c r="I110" s="110">
        <f t="shared" si="40"/>
        <v>62.44</v>
      </c>
      <c r="J110" s="110">
        <f t="shared" si="40"/>
        <v>101.43999999999996</v>
      </c>
      <c r="K110" s="110">
        <f t="shared" si="40"/>
        <v>113.93999999999996</v>
      </c>
      <c r="L110" s="110">
        <f t="shared" si="40"/>
        <v>184.84</v>
      </c>
      <c r="M110" s="110">
        <f t="shared" si="40"/>
        <v>211.34</v>
      </c>
      <c r="N110" s="110">
        <f t="shared" si="40"/>
        <v>209.83999999999997</v>
      </c>
      <c r="O110" s="110">
        <f t="shared" si="40"/>
        <v>207.03999999999996</v>
      </c>
      <c r="P110" s="110">
        <v>42</v>
      </c>
      <c r="Q110" s="110">
        <f t="shared" ref="Q110:AA110" si="41">SUM(Q20,Q26,Q29:Q30,Q58,Q60:Q61,Q63,Q65,Q111:Q115,Q138,Q144,Q150,Q159,Q161,Q173,Q180,Q183:Q184,Q191,Q193,Q195,Q199:Q201,Q203:Q205,Q210,Q216:Q217,Q219:Q221,Q229,Q234)</f>
        <v>182.2</v>
      </c>
      <c r="R110" s="110">
        <f t="shared" si="41"/>
        <v>167.8</v>
      </c>
      <c r="S110" s="110">
        <f t="shared" si="41"/>
        <v>188.29999999999995</v>
      </c>
      <c r="T110" s="110">
        <f t="shared" si="41"/>
        <v>188.89999999999998</v>
      </c>
      <c r="U110" s="110">
        <f t="shared" si="41"/>
        <v>190.00000000000006</v>
      </c>
      <c r="V110" s="110">
        <f t="shared" si="41"/>
        <v>209.7</v>
      </c>
      <c r="W110" s="110">
        <f t="shared" si="41"/>
        <v>234</v>
      </c>
      <c r="X110" s="110">
        <f t="shared" si="41"/>
        <v>274.60000000000002</v>
      </c>
      <c r="Y110" s="110">
        <f t="shared" si="41"/>
        <v>270.60000000000002</v>
      </c>
      <c r="Z110" s="110">
        <f t="shared" si="41"/>
        <v>246.3</v>
      </c>
      <c r="AA110" s="110">
        <f t="shared" si="41"/>
        <v>175.3</v>
      </c>
      <c r="AB110" s="110">
        <f t="shared" ref="AB110:AD110" si="42">SUM(AB20,AB26,AB29:AB30,AB58,AB60:AB61,AB63,AB65,AB111:AB115,AB138,AB144,AB150,AB159,AB161,AB173,AB180,AB183:AB184,AB191,AB193,AB195,AB199:AB201,AB203:AB205,AB210,AB216:AB217,AB219:AB221,AB229,AB234)</f>
        <v>178.8</v>
      </c>
      <c r="AC110" s="110">
        <f t="shared" si="42"/>
        <v>171.39999999999998</v>
      </c>
      <c r="AD110" s="110">
        <f t="shared" si="42"/>
        <v>168.8</v>
      </c>
      <c r="AE110" s="110">
        <f t="shared" ref="AE110" si="43">SUM(AE20,AE26,AE29:AE30,AE58,AE60:AE61,AE63,AE65,AE111:AE115,AE138,AE144,AE150,AE159,AE161,AE173,AE180,AE183:AE184,AE191,AE193,AE195,AE199:AE201,AE203:AE205,AE210,AE216:AE217,AE219:AE221,AE229,AE234)</f>
        <v>95</v>
      </c>
      <c r="AF110" s="110">
        <v>32.700000000000017</v>
      </c>
      <c r="AG110" s="111"/>
      <c r="AH110" s="47">
        <f t="shared" si="20"/>
        <v>274.60000000000002</v>
      </c>
      <c r="AI110" s="48">
        <f t="shared" si="21"/>
        <v>11.840000000000007</v>
      </c>
    </row>
    <row r="111" spans="1:37" x14ac:dyDescent="0.25">
      <c r="A111" s="99" t="s">
        <v>119</v>
      </c>
      <c r="B111" s="112">
        <v>25.2</v>
      </c>
      <c r="C111" s="112">
        <v>22.3</v>
      </c>
      <c r="D111" s="112">
        <v>27</v>
      </c>
      <c r="E111" s="112">
        <v>27</v>
      </c>
      <c r="F111" s="112">
        <v>27</v>
      </c>
      <c r="G111" s="112">
        <v>27</v>
      </c>
      <c r="H111" s="112">
        <v>27</v>
      </c>
      <c r="I111" s="112">
        <v>42</v>
      </c>
      <c r="J111" s="112">
        <v>48</v>
      </c>
      <c r="K111" s="112">
        <v>60</v>
      </c>
      <c r="L111" s="112">
        <v>68</v>
      </c>
      <c r="M111" s="112">
        <v>64.5</v>
      </c>
      <c r="N111" s="112">
        <v>70.2</v>
      </c>
      <c r="O111" s="112">
        <v>66</v>
      </c>
      <c r="P111" s="112">
        <v>66.400000000000006</v>
      </c>
      <c r="Q111" s="112">
        <v>62.6</v>
      </c>
      <c r="R111" s="112">
        <v>56.2</v>
      </c>
      <c r="S111" s="112">
        <v>63.9</v>
      </c>
      <c r="T111" s="112">
        <v>64.400000000000006</v>
      </c>
      <c r="U111" s="112">
        <v>67.7</v>
      </c>
      <c r="V111" s="112">
        <v>66.5</v>
      </c>
      <c r="W111" s="112">
        <v>60.9</v>
      </c>
      <c r="X111" s="112">
        <v>53</v>
      </c>
      <c r="Y111" s="112">
        <v>56</v>
      </c>
      <c r="Z111" s="112">
        <v>60</v>
      </c>
      <c r="AA111" s="112"/>
      <c r="AB111" s="112">
        <v>52.4</v>
      </c>
      <c r="AC111" s="112">
        <v>45</v>
      </c>
      <c r="AD111" s="112">
        <v>52.4</v>
      </c>
      <c r="AE111" s="112">
        <v>35</v>
      </c>
      <c r="AF111" s="112">
        <v>30</v>
      </c>
      <c r="AG111" s="113">
        <v>75</v>
      </c>
      <c r="AH111" s="47">
        <f t="shared" si="20"/>
        <v>70.2</v>
      </c>
      <c r="AI111" s="48">
        <f t="shared" si="21"/>
        <v>22.3</v>
      </c>
    </row>
    <row r="112" spans="1:37" x14ac:dyDescent="0.25">
      <c r="A112" s="102" t="s">
        <v>120</v>
      </c>
      <c r="B112" s="114">
        <v>37.6</v>
      </c>
      <c r="C112" s="114">
        <v>34.1</v>
      </c>
      <c r="D112" s="114">
        <v>40.700000000000003</v>
      </c>
      <c r="E112" s="114">
        <v>40.700000000000003</v>
      </c>
      <c r="F112" s="114">
        <v>40.700000000000003</v>
      </c>
      <c r="G112" s="114">
        <v>40.700000000000003</v>
      </c>
      <c r="H112" s="114">
        <v>40.700000000000003</v>
      </c>
      <c r="I112" s="114">
        <v>59</v>
      </c>
      <c r="J112" s="114">
        <v>61</v>
      </c>
      <c r="K112" s="114">
        <v>59</v>
      </c>
      <c r="L112" s="114">
        <v>51.2</v>
      </c>
      <c r="M112" s="114">
        <v>87</v>
      </c>
      <c r="N112" s="114">
        <v>96.6</v>
      </c>
      <c r="O112" s="114">
        <v>92.2</v>
      </c>
      <c r="P112" s="114">
        <v>91.4</v>
      </c>
      <c r="Q112" s="114">
        <v>86.7</v>
      </c>
      <c r="R112" s="114">
        <v>76.5</v>
      </c>
      <c r="S112" s="114">
        <v>88.6</v>
      </c>
      <c r="T112" s="114">
        <v>90.7</v>
      </c>
      <c r="U112" s="114">
        <v>94.9</v>
      </c>
      <c r="V112" s="114">
        <v>91.4</v>
      </c>
      <c r="W112" s="114">
        <v>82.6</v>
      </c>
      <c r="X112" s="114">
        <v>71.099999999999994</v>
      </c>
      <c r="Y112" s="114">
        <v>75</v>
      </c>
      <c r="Z112" s="114">
        <v>81.599999999999994</v>
      </c>
      <c r="AA112" s="114"/>
      <c r="AB112" s="114">
        <v>71.3</v>
      </c>
      <c r="AC112" s="114">
        <v>71.3</v>
      </c>
      <c r="AD112" s="114">
        <v>71.3</v>
      </c>
      <c r="AE112" s="114">
        <v>46</v>
      </c>
      <c r="AF112" s="114">
        <v>40</v>
      </c>
      <c r="AG112" s="113">
        <v>240</v>
      </c>
      <c r="AH112" s="47">
        <f t="shared" si="20"/>
        <v>96.6</v>
      </c>
      <c r="AI112" s="48">
        <f t="shared" si="21"/>
        <v>34.1</v>
      </c>
    </row>
    <row r="113" spans="1:37" x14ac:dyDescent="0.25">
      <c r="A113" s="102" t="s">
        <v>121</v>
      </c>
      <c r="B113" s="114">
        <v>-180</v>
      </c>
      <c r="C113" s="114">
        <v>-180</v>
      </c>
      <c r="D113" s="114">
        <v>-170</v>
      </c>
      <c r="E113" s="114">
        <v>-170</v>
      </c>
      <c r="F113" s="114">
        <v>-170</v>
      </c>
      <c r="G113" s="114">
        <v>-170</v>
      </c>
      <c r="H113" s="114">
        <v>-170</v>
      </c>
      <c r="I113" s="114">
        <v>-170</v>
      </c>
      <c r="J113" s="114">
        <f>-70.3-68.2</f>
        <v>-138.5</v>
      </c>
      <c r="K113" s="114">
        <v>-136</v>
      </c>
      <c r="L113" s="114">
        <f>-45.1-48.5</f>
        <v>-93.6</v>
      </c>
      <c r="M113" s="114">
        <f>-55-60.9</f>
        <v>-115.9</v>
      </c>
      <c r="N113" s="114">
        <f>-68-73</f>
        <v>-141</v>
      </c>
      <c r="O113" s="114">
        <f>-71-76</f>
        <v>-147</v>
      </c>
      <c r="P113" s="114">
        <f>-73-78</f>
        <v>-151</v>
      </c>
      <c r="Q113" s="114">
        <f>-68-74</f>
        <v>-142</v>
      </c>
      <c r="R113" s="114">
        <f>-71.4-77.1</f>
        <v>-148.5</v>
      </c>
      <c r="S113" s="114">
        <v>-148</v>
      </c>
      <c r="T113" s="114">
        <v>-147</v>
      </c>
      <c r="U113" s="114">
        <f>-74.5-79.2</f>
        <v>-153.69999999999999</v>
      </c>
      <c r="V113" s="114">
        <v>-134</v>
      </c>
      <c r="W113" s="114">
        <v>-97</v>
      </c>
      <c r="X113" s="114">
        <v>-73</v>
      </c>
      <c r="Y113" s="114">
        <v>-77</v>
      </c>
      <c r="Z113" s="114">
        <v>-102</v>
      </c>
      <c r="AA113" s="114"/>
      <c r="AB113" s="114">
        <v>-120.9</v>
      </c>
      <c r="AC113" s="114">
        <v>-120.9</v>
      </c>
      <c r="AD113" s="114">
        <v>-120.9</v>
      </c>
      <c r="AE113" s="114">
        <v>-137</v>
      </c>
      <c r="AF113" s="114">
        <v>-140</v>
      </c>
      <c r="AG113" s="113">
        <v>240</v>
      </c>
      <c r="AH113" s="47">
        <f t="shared" si="20"/>
        <v>-73</v>
      </c>
      <c r="AI113" s="48">
        <f t="shared" si="21"/>
        <v>-180</v>
      </c>
    </row>
    <row r="114" spans="1:37" x14ac:dyDescent="0.25">
      <c r="A114" s="102" t="s">
        <v>122</v>
      </c>
      <c r="B114" s="114">
        <v>-22.1</v>
      </c>
      <c r="C114" s="114">
        <v>-21</v>
      </c>
      <c r="D114" s="114">
        <v>-25</v>
      </c>
      <c r="E114" s="114">
        <v>-25</v>
      </c>
      <c r="F114" s="114">
        <v>-25</v>
      </c>
      <c r="G114" s="114">
        <v>-25</v>
      </c>
      <c r="H114" s="114">
        <v>-25</v>
      </c>
      <c r="I114" s="114">
        <v>-25</v>
      </c>
      <c r="J114" s="114">
        <v>-34.799999999999997</v>
      </c>
      <c r="K114" s="114">
        <v>-34.799999999999997</v>
      </c>
      <c r="L114" s="114">
        <v>-6.5</v>
      </c>
      <c r="M114" s="114">
        <v>-9</v>
      </c>
      <c r="N114" s="114">
        <v>-0.5</v>
      </c>
      <c r="O114" s="114">
        <v>-0.5</v>
      </c>
      <c r="P114" s="114">
        <v>0</v>
      </c>
      <c r="Q114" s="114">
        <v>2.8</v>
      </c>
      <c r="R114" s="114">
        <v>0.8</v>
      </c>
      <c r="S114" s="114">
        <v>-3</v>
      </c>
      <c r="T114" s="114">
        <v>-0.8</v>
      </c>
      <c r="U114" s="114">
        <v>-2</v>
      </c>
      <c r="V114" s="114">
        <v>2.7</v>
      </c>
      <c r="W114" s="114">
        <v>7</v>
      </c>
      <c r="X114" s="114">
        <v>43</v>
      </c>
      <c r="Y114" s="114">
        <v>36.1</v>
      </c>
      <c r="Z114" s="114">
        <v>26.2</v>
      </c>
      <c r="AA114" s="114"/>
      <c r="AB114" s="114">
        <v>11.4</v>
      </c>
      <c r="AC114" s="114">
        <v>11.4</v>
      </c>
      <c r="AD114" s="114">
        <v>11.4</v>
      </c>
      <c r="AE114" s="114">
        <v>11.4</v>
      </c>
      <c r="AF114" s="114">
        <v>-15</v>
      </c>
      <c r="AG114" s="113">
        <v>60</v>
      </c>
      <c r="AH114" s="47">
        <f t="shared" si="20"/>
        <v>43</v>
      </c>
      <c r="AI114" s="48">
        <f t="shared" si="21"/>
        <v>-34.799999999999997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>
        <v>0</v>
      </c>
      <c r="AA115" s="116"/>
      <c r="AB115" s="116">
        <v>0</v>
      </c>
      <c r="AC115" s="116">
        <v>0</v>
      </c>
      <c r="AD115" s="116">
        <v>0</v>
      </c>
      <c r="AE115" s="116">
        <v>-5</v>
      </c>
      <c r="AF115" s="116">
        <v>0</v>
      </c>
      <c r="AG115" s="117">
        <v>120</v>
      </c>
      <c r="AH115" s="47">
        <f t="shared" si="20"/>
        <v>0</v>
      </c>
      <c r="AI115" s="48">
        <f t="shared" si="21"/>
        <v>-5</v>
      </c>
    </row>
    <row r="116" spans="1:37" x14ac:dyDescent="0.25">
      <c r="A116" s="115" t="s">
        <v>124</v>
      </c>
      <c r="B116" s="116">
        <v>1.7</v>
      </c>
      <c r="C116" s="116">
        <v>18</v>
      </c>
      <c r="D116" s="116">
        <v>4.7</v>
      </c>
      <c r="E116" s="116">
        <v>4.7</v>
      </c>
      <c r="F116" s="116">
        <v>4.7</v>
      </c>
      <c r="G116" s="116">
        <v>4.7</v>
      </c>
      <c r="H116" s="116">
        <v>4.7</v>
      </c>
      <c r="I116" s="116">
        <v>-5.2</v>
      </c>
      <c r="J116" s="116">
        <v>-6</v>
      </c>
      <c r="K116" s="116">
        <v>-6</v>
      </c>
      <c r="L116" s="116">
        <v>28.1</v>
      </c>
      <c r="M116" s="116">
        <v>0.2</v>
      </c>
      <c r="N116" s="116">
        <v>-8.1999999999999993</v>
      </c>
      <c r="O116" s="116">
        <v>-8.1999999999999993</v>
      </c>
      <c r="P116" s="116">
        <v>4.3</v>
      </c>
      <c r="Q116" s="116">
        <v>-10.3</v>
      </c>
      <c r="R116" s="116">
        <v>-15.2</v>
      </c>
      <c r="S116" s="116">
        <v>-18</v>
      </c>
      <c r="T116" s="116">
        <v>-11</v>
      </c>
      <c r="U116" s="116">
        <v>-20</v>
      </c>
      <c r="V116" s="116">
        <v>-3</v>
      </c>
      <c r="W116" s="116">
        <v>15</v>
      </c>
      <c r="X116" s="116">
        <v>18</v>
      </c>
      <c r="Y116" s="116">
        <v>6</v>
      </c>
      <c r="Z116" s="116">
        <v>2</v>
      </c>
      <c r="AA116" s="116"/>
      <c r="AB116" s="116">
        <v>5.3</v>
      </c>
      <c r="AC116" s="116">
        <v>5.3</v>
      </c>
      <c r="AD116" s="116">
        <v>5.3</v>
      </c>
      <c r="AE116" s="116">
        <v>3.5</v>
      </c>
      <c r="AF116" s="116">
        <v>3.5</v>
      </c>
      <c r="AG116" s="117"/>
      <c r="AH116" s="47">
        <f t="shared" si="20"/>
        <v>28.1</v>
      </c>
      <c r="AI116" s="48">
        <f t="shared" si="21"/>
        <v>-20</v>
      </c>
    </row>
    <row r="117" spans="1:37" x14ac:dyDescent="0.25">
      <c r="A117" s="115" t="s">
        <v>125</v>
      </c>
      <c r="B117" s="116">
        <v>-8.8000000000000007</v>
      </c>
      <c r="C117" s="116">
        <v>-13</v>
      </c>
      <c r="D117" s="116">
        <v>-13.6</v>
      </c>
      <c r="E117" s="116">
        <v>-13.6</v>
      </c>
      <c r="F117" s="116">
        <v>-13.6</v>
      </c>
      <c r="G117" s="116">
        <v>-13.6</v>
      </c>
      <c r="H117" s="116">
        <v>-13.6</v>
      </c>
      <c r="I117" s="116">
        <v>-27.63</v>
      </c>
      <c r="J117" s="116">
        <v>-31.5</v>
      </c>
      <c r="K117" s="116">
        <v>-31.5</v>
      </c>
      <c r="L117" s="116">
        <v>90.8</v>
      </c>
      <c r="M117" s="116">
        <v>-109.5</v>
      </c>
      <c r="N117" s="116">
        <v>105.4</v>
      </c>
      <c r="O117" s="116">
        <v>105.4</v>
      </c>
      <c r="P117" s="116">
        <v>-100.2</v>
      </c>
      <c r="Q117" s="116">
        <v>-100.4</v>
      </c>
      <c r="R117" s="116">
        <v>-98.9</v>
      </c>
      <c r="S117" s="116">
        <v>-95</v>
      </c>
      <c r="T117" s="116">
        <v>-107</v>
      </c>
      <c r="U117" s="116">
        <v>-105.4</v>
      </c>
      <c r="V117" s="116">
        <v>-73</v>
      </c>
      <c r="W117" s="116">
        <v>-78.5</v>
      </c>
      <c r="X117" s="116">
        <v>-74</v>
      </c>
      <c r="Y117" s="116">
        <v>-78</v>
      </c>
      <c r="Z117" s="116">
        <v>-90.4</v>
      </c>
      <c r="AA117" s="116"/>
      <c r="AB117" s="116">
        <v>78.5</v>
      </c>
      <c r="AC117" s="116">
        <v>78.5</v>
      </c>
      <c r="AD117" s="116">
        <v>78.5</v>
      </c>
      <c r="AE117" s="116"/>
      <c r="AF117" s="116">
        <v>-15</v>
      </c>
      <c r="AG117" s="118"/>
      <c r="AH117" s="47">
        <f t="shared" si="20"/>
        <v>105.4</v>
      </c>
      <c r="AI117" s="48">
        <f t="shared" si="21"/>
        <v>-109.5</v>
      </c>
    </row>
    <row r="118" spans="1:37" x14ac:dyDescent="0.25">
      <c r="A118" s="119" t="s">
        <v>126</v>
      </c>
      <c r="B118" s="105">
        <v>71</v>
      </c>
      <c r="C118" s="105">
        <v>72</v>
      </c>
      <c r="D118" s="105">
        <v>76.3</v>
      </c>
      <c r="E118" s="105">
        <v>76.3</v>
      </c>
      <c r="F118" s="105">
        <v>76.3</v>
      </c>
      <c r="G118" s="105">
        <v>76.3</v>
      </c>
      <c r="H118" s="105">
        <v>76.3</v>
      </c>
      <c r="I118" s="105">
        <v>68</v>
      </c>
      <c r="J118" s="105">
        <v>64.900000000000006</v>
      </c>
      <c r="K118" s="105">
        <v>64.900000000000006</v>
      </c>
      <c r="L118" s="105">
        <v>58.4</v>
      </c>
      <c r="M118" s="105">
        <v>56.4</v>
      </c>
      <c r="N118" s="105">
        <v>58.9</v>
      </c>
      <c r="O118" s="105">
        <v>58.9</v>
      </c>
      <c r="P118" s="105">
        <v>54.6</v>
      </c>
      <c r="Q118" s="105">
        <v>45</v>
      </c>
      <c r="R118" s="105">
        <v>49</v>
      </c>
      <c r="S118" s="105">
        <v>55</v>
      </c>
      <c r="T118" s="105">
        <v>49</v>
      </c>
      <c r="U118" s="105">
        <v>49.2</v>
      </c>
      <c r="V118" s="105">
        <v>45</v>
      </c>
      <c r="W118" s="105">
        <v>39</v>
      </c>
      <c r="X118" s="105">
        <v>33.4</v>
      </c>
      <c r="Y118" s="105">
        <v>39.1</v>
      </c>
      <c r="Z118" s="105">
        <v>45</v>
      </c>
      <c r="AA118" s="105"/>
      <c r="AB118" s="105">
        <v>50.3</v>
      </c>
      <c r="AC118" s="105">
        <v>50.3</v>
      </c>
      <c r="AD118" s="105">
        <v>50.3</v>
      </c>
      <c r="AE118" s="105">
        <v>70</v>
      </c>
      <c r="AF118" s="105">
        <v>72</v>
      </c>
      <c r="AG118" s="118"/>
      <c r="AH118" s="47">
        <f t="shared" si="20"/>
        <v>76.3</v>
      </c>
      <c r="AI118" s="48">
        <f t="shared" si="21"/>
        <v>33.4</v>
      </c>
    </row>
    <row r="119" spans="1:37" x14ac:dyDescent="0.25">
      <c r="A119" s="120" t="s">
        <v>127</v>
      </c>
      <c r="B119" s="105">
        <v>96</v>
      </c>
      <c r="C119" s="105">
        <v>98</v>
      </c>
      <c r="D119" s="105">
        <v>95</v>
      </c>
      <c r="E119" s="105">
        <v>95</v>
      </c>
      <c r="F119" s="105">
        <v>95</v>
      </c>
      <c r="G119" s="105">
        <v>95</v>
      </c>
      <c r="H119" s="105">
        <v>95</v>
      </c>
      <c r="I119" s="105">
        <v>92.1</v>
      </c>
      <c r="J119" s="105">
        <v>90.2</v>
      </c>
      <c r="K119" s="105">
        <v>90.2</v>
      </c>
      <c r="L119" s="105">
        <v>59.3</v>
      </c>
      <c r="M119" s="105">
        <v>82.3</v>
      </c>
      <c r="N119" s="105">
        <v>95</v>
      </c>
      <c r="O119" s="105">
        <v>95</v>
      </c>
      <c r="P119" s="105">
        <v>91.3</v>
      </c>
      <c r="Q119" s="105">
        <v>95</v>
      </c>
      <c r="R119" s="105">
        <v>98.7</v>
      </c>
      <c r="S119" s="105">
        <v>98</v>
      </c>
      <c r="T119" s="105">
        <v>95.1</v>
      </c>
      <c r="U119" s="105">
        <v>98.6</v>
      </c>
      <c r="V119" s="105">
        <v>77</v>
      </c>
      <c r="W119" s="105">
        <v>65.400000000000006</v>
      </c>
      <c r="X119" s="105">
        <v>74.8</v>
      </c>
      <c r="Y119" s="105">
        <v>78</v>
      </c>
      <c r="Z119" s="105">
        <v>82</v>
      </c>
      <c r="AA119" s="105"/>
      <c r="AB119" s="105">
        <v>82.3</v>
      </c>
      <c r="AC119" s="105">
        <v>82.3</v>
      </c>
      <c r="AD119" s="105">
        <v>82.3</v>
      </c>
      <c r="AE119" s="105">
        <v>82.3</v>
      </c>
      <c r="AF119" s="105">
        <v>83</v>
      </c>
      <c r="AG119" s="118"/>
      <c r="AH119" s="47">
        <f t="shared" si="20"/>
        <v>98.7</v>
      </c>
      <c r="AI119" s="48">
        <f t="shared" si="21"/>
        <v>59.3</v>
      </c>
    </row>
    <row r="120" spans="1:37" ht="15.75" thickBot="1" x14ac:dyDescent="0.3">
      <c r="A120" s="119" t="s">
        <v>128</v>
      </c>
      <c r="B120" s="105">
        <v>28.2</v>
      </c>
      <c r="C120" s="105">
        <v>25.6</v>
      </c>
      <c r="D120" s="105">
        <v>6.2</v>
      </c>
      <c r="E120" s="105">
        <v>6.2</v>
      </c>
      <c r="F120" s="105">
        <v>6.2</v>
      </c>
      <c r="G120" s="105">
        <v>6.2</v>
      </c>
      <c r="H120" s="105">
        <v>6.2</v>
      </c>
      <c r="I120" s="105">
        <v>6.2</v>
      </c>
      <c r="J120" s="105">
        <v>-15.5</v>
      </c>
      <c r="K120" s="105">
        <v>-15.5</v>
      </c>
      <c r="L120" s="105">
        <v>-9.4</v>
      </c>
      <c r="M120" s="105">
        <v>-4.9000000000000004</v>
      </c>
      <c r="N120" s="105">
        <v>-20.5</v>
      </c>
      <c r="O120" s="105">
        <v>-20.5</v>
      </c>
      <c r="P120" s="105">
        <v>-21.1</v>
      </c>
      <c r="Q120" s="105">
        <v>-16.8</v>
      </c>
      <c r="R120" s="105">
        <v>-12.4</v>
      </c>
      <c r="S120" s="105">
        <v>-8</v>
      </c>
      <c r="T120" s="105">
        <v>-12</v>
      </c>
      <c r="U120" s="105">
        <v>-10.9</v>
      </c>
      <c r="V120" s="105">
        <v>-11</v>
      </c>
      <c r="W120" s="105">
        <v>-0.2</v>
      </c>
      <c r="X120" s="105">
        <v>10</v>
      </c>
      <c r="Y120" s="105">
        <v>4</v>
      </c>
      <c r="Z120" s="105">
        <v>0.4</v>
      </c>
      <c r="AA120" s="105"/>
      <c r="AB120" s="105">
        <v>0.4</v>
      </c>
      <c r="AC120" s="105">
        <v>0.4</v>
      </c>
      <c r="AD120" s="105">
        <v>0.4</v>
      </c>
      <c r="AE120" s="105">
        <v>-20</v>
      </c>
      <c r="AF120" s="105">
        <v>-20</v>
      </c>
      <c r="AG120" s="118"/>
      <c r="AH120" s="47">
        <f t="shared" si="20"/>
        <v>28.2</v>
      </c>
      <c r="AI120" s="48">
        <f t="shared" si="21"/>
        <v>-21.1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44">SUM(B122:B226)</f>
        <v>0</v>
      </c>
      <c r="C227" s="136">
        <f t="shared" si="44"/>
        <v>0</v>
      </c>
      <c r="D227" s="136">
        <f t="shared" si="44"/>
        <v>0</v>
      </c>
      <c r="E227" s="136">
        <f t="shared" si="44"/>
        <v>0</v>
      </c>
      <c r="F227" s="136">
        <f t="shared" si="44"/>
        <v>0</v>
      </c>
      <c r="G227" s="136">
        <f t="shared" si="44"/>
        <v>0</v>
      </c>
      <c r="H227" s="136">
        <f t="shared" si="44"/>
        <v>0</v>
      </c>
      <c r="I227" s="136">
        <f t="shared" si="44"/>
        <v>0</v>
      </c>
      <c r="J227" s="136">
        <f t="shared" si="44"/>
        <v>0</v>
      </c>
      <c r="K227" s="136">
        <f t="shared" si="44"/>
        <v>0</v>
      </c>
      <c r="L227" s="136">
        <f t="shared" si="44"/>
        <v>0</v>
      </c>
      <c r="M227" s="136">
        <f t="shared" si="44"/>
        <v>0</v>
      </c>
      <c r="N227" s="136">
        <f t="shared" si="44"/>
        <v>0</v>
      </c>
      <c r="O227" s="136">
        <f t="shared" si="44"/>
        <v>0</v>
      </c>
      <c r="P227" s="136">
        <f t="shared" si="44"/>
        <v>0</v>
      </c>
      <c r="Q227" s="136">
        <f t="shared" si="44"/>
        <v>0</v>
      </c>
      <c r="R227" s="136">
        <f t="shared" si="44"/>
        <v>0</v>
      </c>
      <c r="S227" s="136">
        <f t="shared" si="44"/>
        <v>0</v>
      </c>
      <c r="T227" s="136">
        <f t="shared" si="44"/>
        <v>0</v>
      </c>
      <c r="U227" s="136">
        <f t="shared" si="44"/>
        <v>0</v>
      </c>
      <c r="V227" s="136">
        <f t="shared" si="44"/>
        <v>0</v>
      </c>
      <c r="W227" s="136">
        <f t="shared" si="44"/>
        <v>0</v>
      </c>
      <c r="X227" s="136">
        <f t="shared" si="44"/>
        <v>0</v>
      </c>
      <c r="Y227" s="136">
        <f t="shared" si="44"/>
        <v>0</v>
      </c>
      <c r="Z227" s="136">
        <f t="shared" si="44"/>
        <v>0</v>
      </c>
      <c r="AA227" s="136">
        <f t="shared" si="44"/>
        <v>0</v>
      </c>
      <c r="AB227" s="136">
        <f t="shared" si="44"/>
        <v>0</v>
      </c>
      <c r="AC227" s="136">
        <f t="shared" si="44"/>
        <v>0</v>
      </c>
      <c r="AD227" s="136">
        <f t="shared" si="44"/>
        <v>0</v>
      </c>
      <c r="AE227" s="136">
        <f t="shared" si="44"/>
        <v>0</v>
      </c>
      <c r="AF227" s="137">
        <f t="shared" si="44"/>
        <v>0</v>
      </c>
      <c r="AG227" s="138">
        <f t="shared" si="44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45">AF229</f>
        <v>0</v>
      </c>
      <c r="C229" s="140">
        <v>0.3</v>
      </c>
      <c r="D229" s="140">
        <f t="shared" ref="D229:P234" si="46">C229</f>
        <v>0.3</v>
      </c>
      <c r="E229" s="140">
        <f t="shared" si="46"/>
        <v>0.3</v>
      </c>
      <c r="F229" s="140">
        <f t="shared" si="46"/>
        <v>0.3</v>
      </c>
      <c r="G229" s="140">
        <f t="shared" si="46"/>
        <v>0.3</v>
      </c>
      <c r="H229" s="140">
        <f t="shared" si="46"/>
        <v>0.3</v>
      </c>
      <c r="I229" s="140">
        <f t="shared" si="46"/>
        <v>0.3</v>
      </c>
      <c r="J229" s="140">
        <f t="shared" si="46"/>
        <v>0.3</v>
      </c>
      <c r="K229" s="140">
        <f t="shared" si="46"/>
        <v>0.3</v>
      </c>
      <c r="L229" s="140">
        <f t="shared" si="46"/>
        <v>0.3</v>
      </c>
      <c r="M229" s="140">
        <f t="shared" si="46"/>
        <v>0.3</v>
      </c>
      <c r="N229" s="140">
        <f t="shared" si="46"/>
        <v>0.3</v>
      </c>
      <c r="O229" s="140">
        <f t="shared" si="46"/>
        <v>0.3</v>
      </c>
      <c r="P229" s="140">
        <f t="shared" si="46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45"/>
        <v>0</v>
      </c>
      <c r="C230" s="128">
        <v>0.4</v>
      </c>
      <c r="D230" s="128">
        <f t="shared" si="46"/>
        <v>0.4</v>
      </c>
      <c r="E230" s="128">
        <f t="shared" si="46"/>
        <v>0.4</v>
      </c>
      <c r="F230" s="128">
        <f t="shared" si="46"/>
        <v>0.4</v>
      </c>
      <c r="G230" s="128">
        <f t="shared" si="46"/>
        <v>0.4</v>
      </c>
      <c r="H230" s="128">
        <f t="shared" si="46"/>
        <v>0.4</v>
      </c>
      <c r="I230" s="128">
        <f t="shared" si="46"/>
        <v>0.4</v>
      </c>
      <c r="J230" s="128">
        <f t="shared" si="46"/>
        <v>0.4</v>
      </c>
      <c r="K230" s="128">
        <f t="shared" si="46"/>
        <v>0.4</v>
      </c>
      <c r="L230" s="128">
        <f t="shared" si="46"/>
        <v>0.4</v>
      </c>
      <c r="M230" s="128">
        <f t="shared" si="46"/>
        <v>0.4</v>
      </c>
      <c r="N230" s="128">
        <f t="shared" si="46"/>
        <v>0.4</v>
      </c>
      <c r="O230" s="128">
        <f t="shared" si="46"/>
        <v>0.4</v>
      </c>
      <c r="P230" s="128">
        <f t="shared" si="46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45"/>
        <v>0</v>
      </c>
      <c r="C231" s="128">
        <v>1.5</v>
      </c>
      <c r="D231" s="128">
        <f t="shared" si="46"/>
        <v>1.5</v>
      </c>
      <c r="E231" s="128">
        <f t="shared" si="46"/>
        <v>1.5</v>
      </c>
      <c r="F231" s="128">
        <f t="shared" si="46"/>
        <v>1.5</v>
      </c>
      <c r="G231" s="128">
        <f t="shared" si="46"/>
        <v>1.5</v>
      </c>
      <c r="H231" s="128">
        <f t="shared" si="46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46"/>
        <v>123.21900000000009</v>
      </c>
      <c r="K231" s="128">
        <f t="shared" ca="1" si="46"/>
        <v>123.21900000000009</v>
      </c>
      <c r="L231" s="128">
        <f t="shared" ca="1" si="46"/>
        <v>123.21900000000009</v>
      </c>
      <c r="M231" s="128">
        <f t="shared" ca="1" si="46"/>
        <v>119.19900000000008</v>
      </c>
      <c r="N231" s="128">
        <f t="shared" ca="1" si="46"/>
        <v>119.19900000000008</v>
      </c>
      <c r="O231" s="128">
        <f t="shared" ca="1" si="46"/>
        <v>119.19900000000008</v>
      </c>
      <c r="P231" s="128">
        <f t="shared" ca="1" si="46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45"/>
        <v>0</v>
      </c>
      <c r="C232" s="128">
        <v>0.3</v>
      </c>
      <c r="D232" s="128">
        <f t="shared" si="46"/>
        <v>0.3</v>
      </c>
      <c r="E232" s="128">
        <f t="shared" si="46"/>
        <v>0.3</v>
      </c>
      <c r="F232" s="128">
        <f t="shared" si="46"/>
        <v>0.3</v>
      </c>
      <c r="G232" s="128">
        <f t="shared" si="46"/>
        <v>0.3</v>
      </c>
      <c r="H232" s="128">
        <f t="shared" si="46"/>
        <v>0.3</v>
      </c>
      <c r="I232" s="128">
        <f t="shared" si="46"/>
        <v>0.3</v>
      </c>
      <c r="J232" s="128">
        <f t="shared" si="46"/>
        <v>0.3</v>
      </c>
      <c r="K232" s="128">
        <f t="shared" si="46"/>
        <v>0.3</v>
      </c>
      <c r="L232" s="128">
        <f t="shared" si="46"/>
        <v>0.3</v>
      </c>
      <c r="M232" s="128">
        <f t="shared" si="46"/>
        <v>0.3</v>
      </c>
      <c r="N232" s="128">
        <f t="shared" si="46"/>
        <v>0.3</v>
      </c>
      <c r="O232" s="128">
        <f t="shared" si="46"/>
        <v>0.3</v>
      </c>
      <c r="P232" s="128">
        <f t="shared" si="46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45"/>
        <v>0</v>
      </c>
      <c r="C233" s="128">
        <v>0.4</v>
      </c>
      <c r="D233" s="128">
        <f t="shared" si="46"/>
        <v>0.4</v>
      </c>
      <c r="E233" s="128">
        <f t="shared" si="46"/>
        <v>0.4</v>
      </c>
      <c r="F233" s="128">
        <f t="shared" si="46"/>
        <v>0.4</v>
      </c>
      <c r="G233" s="128">
        <f t="shared" si="46"/>
        <v>0.4</v>
      </c>
      <c r="H233" s="128">
        <f t="shared" si="46"/>
        <v>0.4</v>
      </c>
      <c r="I233" s="128">
        <f t="shared" si="46"/>
        <v>0.4</v>
      </c>
      <c r="J233" s="128">
        <f t="shared" si="46"/>
        <v>0.4</v>
      </c>
      <c r="K233" s="128">
        <f t="shared" si="46"/>
        <v>0.4</v>
      </c>
      <c r="L233" s="128">
        <f t="shared" si="46"/>
        <v>0.4</v>
      </c>
      <c r="M233" s="128">
        <f t="shared" si="46"/>
        <v>0.4</v>
      </c>
      <c r="N233" s="128">
        <f t="shared" si="46"/>
        <v>0.4</v>
      </c>
      <c r="O233" s="128">
        <f t="shared" si="46"/>
        <v>0.4</v>
      </c>
      <c r="P233" s="128">
        <f t="shared" si="46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45"/>
        <v>0</v>
      </c>
      <c r="C234" s="132">
        <v>0.64</v>
      </c>
      <c r="D234" s="132">
        <f t="shared" si="46"/>
        <v>0.64</v>
      </c>
      <c r="E234" s="132">
        <f t="shared" si="46"/>
        <v>0.64</v>
      </c>
      <c r="F234" s="132">
        <f t="shared" si="46"/>
        <v>0.64</v>
      </c>
      <c r="G234" s="132">
        <f t="shared" si="46"/>
        <v>0.64</v>
      </c>
      <c r="H234" s="132">
        <f t="shared" si="46"/>
        <v>0.64</v>
      </c>
      <c r="I234" s="132">
        <f t="shared" si="46"/>
        <v>0.64</v>
      </c>
      <c r="J234" s="132">
        <f t="shared" si="46"/>
        <v>0.64</v>
      </c>
      <c r="K234" s="132">
        <f t="shared" si="46"/>
        <v>0.64</v>
      </c>
      <c r="L234" s="132">
        <f t="shared" si="46"/>
        <v>0.64</v>
      </c>
      <c r="M234" s="132">
        <f t="shared" si="46"/>
        <v>0.64</v>
      </c>
      <c r="N234" s="132">
        <f t="shared" si="46"/>
        <v>0.64</v>
      </c>
      <c r="O234" s="132">
        <f t="shared" si="46"/>
        <v>0.64</v>
      </c>
      <c r="P234" s="132">
        <f t="shared" si="46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47">SUM(B229:B234)</f>
        <v>0</v>
      </c>
      <c r="C235" s="136">
        <f t="shared" si="47"/>
        <v>3.54</v>
      </c>
      <c r="D235" s="136">
        <f t="shared" si="47"/>
        <v>3.54</v>
      </c>
      <c r="E235" s="136">
        <f t="shared" si="47"/>
        <v>3.54</v>
      </c>
      <c r="F235" s="136">
        <f t="shared" si="47"/>
        <v>3.54</v>
      </c>
      <c r="G235" s="136">
        <f t="shared" si="47"/>
        <v>3.54</v>
      </c>
      <c r="H235" s="136">
        <f t="shared" si="47"/>
        <v>3.54</v>
      </c>
      <c r="I235" s="136">
        <f t="shared" ca="1" si="47"/>
        <v>121.23900000000009</v>
      </c>
      <c r="J235" s="136">
        <f t="shared" ca="1" si="47"/>
        <v>121.23900000000009</v>
      </c>
      <c r="K235" s="136">
        <f t="shared" ca="1" si="47"/>
        <v>121.23900000000009</v>
      </c>
      <c r="L235" s="136">
        <f t="shared" ca="1" si="47"/>
        <v>125.2590000000001</v>
      </c>
      <c r="M235" s="136">
        <f t="shared" ca="1" si="47"/>
        <v>121.23900000000009</v>
      </c>
      <c r="N235" s="136">
        <f t="shared" ca="1" si="47"/>
        <v>121.23900000000009</v>
      </c>
      <c r="O235" s="136">
        <f t="shared" ca="1" si="47"/>
        <v>121.23900000000009</v>
      </c>
      <c r="P235" s="136">
        <f t="shared" ca="1" si="47"/>
        <v>121.23900000000009</v>
      </c>
      <c r="Q235" s="136">
        <f t="shared" si="47"/>
        <v>0</v>
      </c>
      <c r="R235" s="136">
        <f t="shared" si="47"/>
        <v>0</v>
      </c>
      <c r="S235" s="136">
        <f t="shared" si="47"/>
        <v>0</v>
      </c>
      <c r="T235" s="136">
        <f t="shared" si="47"/>
        <v>0</v>
      </c>
      <c r="U235" s="136">
        <f t="shared" si="47"/>
        <v>0</v>
      </c>
      <c r="V235" s="136">
        <f t="shared" si="47"/>
        <v>0</v>
      </c>
      <c r="W235" s="136">
        <f t="shared" si="47"/>
        <v>0</v>
      </c>
      <c r="X235" s="136">
        <f t="shared" si="47"/>
        <v>0</v>
      </c>
      <c r="Y235" s="136">
        <f t="shared" si="47"/>
        <v>0</v>
      </c>
      <c r="Z235" s="136">
        <f t="shared" si="47"/>
        <v>0</v>
      </c>
      <c r="AA235" s="136">
        <f t="shared" si="47"/>
        <v>0</v>
      </c>
      <c r="AB235" s="136">
        <f t="shared" si="47"/>
        <v>0</v>
      </c>
      <c r="AC235" s="136">
        <f t="shared" si="47"/>
        <v>0</v>
      </c>
      <c r="AD235" s="136">
        <f t="shared" si="47"/>
        <v>0</v>
      </c>
      <c r="AE235" s="136">
        <f t="shared" si="47"/>
        <v>0</v>
      </c>
      <c r="AF235" s="136">
        <f t="shared" si="47"/>
        <v>0</v>
      </c>
      <c r="AG235" s="145">
        <f t="shared" si="47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2136.2399999999998</v>
      </c>
      <c r="C244" s="161">
        <f>INDEX(G9:N9,1,MATCH(MAX(G91:N91),G91:N91,0))</f>
        <v>0.33333333333333331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29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2080/06/29)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2080/06/29)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48">B91</f>
        <v>1935.74</v>
      </c>
      <c r="U249" s="170">
        <f t="shared" si="48"/>
        <v>1915.74</v>
      </c>
      <c r="V249" s="170">
        <f t="shared" si="48"/>
        <v>1885.7400000000002</v>
      </c>
      <c r="W249" s="170">
        <f t="shared" si="48"/>
        <v>1895.7399999999998</v>
      </c>
      <c r="X249" s="170">
        <f t="shared" si="48"/>
        <v>1892.7399999999998</v>
      </c>
      <c r="Y249" s="170">
        <f t="shared" si="48"/>
        <v>1917.7399999999998</v>
      </c>
      <c r="Z249" s="170">
        <f t="shared" si="48"/>
        <v>1917.7399999999998</v>
      </c>
      <c r="AA249" s="170">
        <f t="shared" si="48"/>
        <v>1917.7399999999998</v>
      </c>
      <c r="AB249" s="170">
        <f t="shared" si="48"/>
        <v>1927.04</v>
      </c>
      <c r="AC249" s="170">
        <f t="shared" si="48"/>
        <v>1967.04</v>
      </c>
      <c r="AD249" s="170">
        <f t="shared" si="48"/>
        <v>1992.04</v>
      </c>
      <c r="AE249" s="170">
        <f t="shared" si="48"/>
        <v>2136.2399999999998</v>
      </c>
      <c r="AF249" s="170">
        <f t="shared" si="48"/>
        <v>2104.7399999999998</v>
      </c>
      <c r="AG249" s="170">
        <f t="shared" si="48"/>
        <v>2086.4399999999996</v>
      </c>
      <c r="AH249" s="170">
        <f t="shared" si="48"/>
        <v>2069.14</v>
      </c>
      <c r="AI249" s="170">
        <f t="shared" si="48"/>
        <v>2077.1400000000003</v>
      </c>
      <c r="AJ249" s="170">
        <f t="shared" si="48"/>
        <v>2051.14</v>
      </c>
      <c r="AK249" s="170">
        <f t="shared" si="48"/>
        <v>2079.2399999999998</v>
      </c>
      <c r="AL249" s="170">
        <f t="shared" si="48"/>
        <v>2049.64</v>
      </c>
      <c r="AM249" s="170">
        <f t="shared" si="48"/>
        <v>2066.2399999999998</v>
      </c>
      <c r="AN249" s="170">
        <f t="shared" si="48"/>
        <v>2018.94</v>
      </c>
      <c r="AO249" s="170">
        <f t="shared" si="48"/>
        <v>2034.44</v>
      </c>
      <c r="AP249" s="170">
        <f t="shared" si="48"/>
        <v>2118.34</v>
      </c>
      <c r="AQ249" s="170">
        <f t="shared" si="48"/>
        <v>2093.04</v>
      </c>
      <c r="AR249" s="170">
        <f t="shared" si="48"/>
        <v>2050.9399999999996</v>
      </c>
      <c r="AS249" s="170">
        <f t="shared" si="48"/>
        <v>2034.3399999999997</v>
      </c>
      <c r="AT249" s="170">
        <f t="shared" si="48"/>
        <v>1975.1399999999999</v>
      </c>
      <c r="AU249" s="170">
        <f t="shared" si="48"/>
        <v>1975.1399999999999</v>
      </c>
      <c r="AV249" s="170">
        <f t="shared" si="48"/>
        <v>1909.9399999999998</v>
      </c>
      <c r="AW249" s="170">
        <f t="shared" si="48"/>
        <v>1768.74</v>
      </c>
      <c r="AX249" s="170">
        <f t="shared" si="48"/>
        <v>1615.34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49">C234</f>
        <v>0.64</v>
      </c>
      <c r="C270" s="173">
        <f t="shared" si="49"/>
        <v>0.64</v>
      </c>
      <c r="D270" s="173">
        <f t="shared" si="49"/>
        <v>0.64</v>
      </c>
      <c r="E270" s="173">
        <f t="shared" si="49"/>
        <v>0.64</v>
      </c>
      <c r="F270" s="173">
        <f t="shared" si="49"/>
        <v>0.64</v>
      </c>
      <c r="G270" s="173">
        <f t="shared" si="49"/>
        <v>0.64</v>
      </c>
      <c r="H270" s="173">
        <f t="shared" si="49"/>
        <v>0.64</v>
      </c>
      <c r="I270" s="173">
        <f t="shared" si="49"/>
        <v>0.64</v>
      </c>
      <c r="J270" s="173">
        <f t="shared" si="49"/>
        <v>0.64</v>
      </c>
      <c r="K270" s="173">
        <f t="shared" si="49"/>
        <v>0.64</v>
      </c>
      <c r="L270" s="173">
        <f t="shared" si="49"/>
        <v>0.64</v>
      </c>
      <c r="M270" s="173">
        <f t="shared" si="49"/>
        <v>0.64</v>
      </c>
      <c r="N270" s="173">
        <f t="shared" si="49"/>
        <v>0.64</v>
      </c>
      <c r="O270" s="173">
        <f t="shared" si="49"/>
        <v>0.64</v>
      </c>
      <c r="P270" s="173">
        <f t="shared" si="49"/>
        <v>0</v>
      </c>
      <c r="Q270" s="173">
        <f t="shared" si="49"/>
        <v>0</v>
      </c>
      <c r="R270" s="173">
        <f t="shared" si="49"/>
        <v>0</v>
      </c>
      <c r="S270" s="173">
        <f t="shared" si="49"/>
        <v>0</v>
      </c>
      <c r="T270" s="173">
        <f t="shared" si="49"/>
        <v>0</v>
      </c>
      <c r="U270" s="173">
        <f t="shared" si="49"/>
        <v>0</v>
      </c>
      <c r="V270" s="173">
        <f t="shared" si="49"/>
        <v>0</v>
      </c>
      <c r="W270" s="173">
        <f t="shared" si="49"/>
        <v>0</v>
      </c>
      <c r="X270" s="173">
        <f t="shared" si="49"/>
        <v>0</v>
      </c>
      <c r="Y270" s="173">
        <f t="shared" si="49"/>
        <v>0</v>
      </c>
      <c r="Z270" s="173">
        <f t="shared" si="49"/>
        <v>0</v>
      </c>
      <c r="AA270" s="173">
        <f t="shared" si="49"/>
        <v>0</v>
      </c>
      <c r="AB270" s="173">
        <f t="shared" si="49"/>
        <v>0</v>
      </c>
      <c r="AC270" s="173">
        <f t="shared" si="49"/>
        <v>0</v>
      </c>
      <c r="AD270" s="173">
        <f t="shared" si="49"/>
        <v>0</v>
      </c>
      <c r="AE270" s="173">
        <f t="shared" si="49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50">IF(B238&lt;100,"",B238-520)</f>
        <v/>
      </c>
      <c r="C271" s="174" t="str">
        <f t="shared" si="50"/>
        <v/>
      </c>
      <c r="D271" s="174" t="str">
        <f t="shared" si="50"/>
        <v/>
      </c>
      <c r="E271" s="174" t="str">
        <f t="shared" si="50"/>
        <v/>
      </c>
      <c r="F271" s="174" t="str">
        <f t="shared" si="50"/>
        <v/>
      </c>
      <c r="G271" s="174" t="str">
        <f t="shared" si="50"/>
        <v/>
      </c>
      <c r="H271" s="174" t="str">
        <f t="shared" si="50"/>
        <v/>
      </c>
      <c r="I271" s="174" t="str">
        <f t="shared" si="50"/>
        <v/>
      </c>
      <c r="J271" s="174" t="str">
        <f t="shared" si="50"/>
        <v/>
      </c>
      <c r="K271" s="174" t="str">
        <f t="shared" si="50"/>
        <v/>
      </c>
      <c r="L271" s="174" t="str">
        <f t="shared" si="50"/>
        <v/>
      </c>
      <c r="M271" s="174" t="str">
        <f t="shared" si="50"/>
        <v/>
      </c>
      <c r="N271" s="174" t="str">
        <f t="shared" si="50"/>
        <v/>
      </c>
      <c r="O271" s="174" t="str">
        <f t="shared" si="50"/>
        <v/>
      </c>
      <c r="P271" s="174" t="str">
        <f t="shared" si="50"/>
        <v/>
      </c>
      <c r="Q271" s="174" t="str">
        <f t="shared" si="50"/>
        <v/>
      </c>
      <c r="R271" s="174" t="str">
        <f t="shared" si="50"/>
        <v/>
      </c>
      <c r="S271" s="174" t="str">
        <f t="shared" si="50"/>
        <v/>
      </c>
      <c r="T271" s="174" t="str">
        <f t="shared" si="50"/>
        <v/>
      </c>
      <c r="U271" s="174" t="str">
        <f t="shared" si="50"/>
        <v/>
      </c>
      <c r="V271" s="174" t="str">
        <f t="shared" si="50"/>
        <v/>
      </c>
      <c r="W271" s="174" t="str">
        <f t="shared" si="50"/>
        <v/>
      </c>
      <c r="X271" s="174" t="str">
        <f t="shared" si="50"/>
        <v/>
      </c>
      <c r="Y271" s="174" t="str">
        <f t="shared" si="50"/>
        <v/>
      </c>
      <c r="Z271" s="174" t="str">
        <f t="shared" si="50"/>
        <v/>
      </c>
      <c r="AA271" s="174" t="str">
        <f t="shared" si="50"/>
        <v/>
      </c>
      <c r="AB271" s="174" t="str">
        <f t="shared" si="50"/>
        <v/>
      </c>
      <c r="AC271" s="174" t="str">
        <f t="shared" si="50"/>
        <v/>
      </c>
      <c r="AD271" s="174" t="str">
        <f t="shared" si="50"/>
        <v/>
      </c>
      <c r="AE271" s="174" t="str">
        <f t="shared" si="50"/>
        <v/>
      </c>
      <c r="AF271" s="174" t="str">
        <f t="shared" si="50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51">IF(B239&lt;100,"",B239-620)</f>
        <v/>
      </c>
      <c r="C272" s="174" t="str">
        <f t="shared" si="51"/>
        <v/>
      </c>
      <c r="D272" s="174" t="str">
        <f t="shared" si="51"/>
        <v/>
      </c>
      <c r="E272" s="174" t="str">
        <f t="shared" si="51"/>
        <v/>
      </c>
      <c r="F272" s="174" t="str">
        <f t="shared" si="51"/>
        <v/>
      </c>
      <c r="G272" s="174" t="str">
        <f t="shared" si="51"/>
        <v/>
      </c>
      <c r="H272" s="174" t="str">
        <f t="shared" si="51"/>
        <v/>
      </c>
      <c r="I272" s="174" t="str">
        <f t="shared" si="51"/>
        <v/>
      </c>
      <c r="J272" s="174" t="str">
        <f t="shared" si="51"/>
        <v/>
      </c>
      <c r="K272" s="174" t="str">
        <f t="shared" si="51"/>
        <v/>
      </c>
      <c r="L272" s="174" t="str">
        <f t="shared" si="51"/>
        <v/>
      </c>
      <c r="M272" s="174" t="str">
        <f t="shared" si="51"/>
        <v/>
      </c>
      <c r="N272" s="174" t="str">
        <f t="shared" si="51"/>
        <v/>
      </c>
      <c r="O272" s="174" t="str">
        <f t="shared" si="51"/>
        <v/>
      </c>
      <c r="P272" s="174" t="str">
        <f t="shared" si="51"/>
        <v/>
      </c>
      <c r="Q272" s="174" t="str">
        <f t="shared" si="51"/>
        <v/>
      </c>
      <c r="R272" s="174" t="str">
        <f t="shared" si="51"/>
        <v/>
      </c>
      <c r="S272" s="174" t="str">
        <f t="shared" si="51"/>
        <v/>
      </c>
      <c r="T272" s="174" t="str">
        <f t="shared" si="51"/>
        <v/>
      </c>
      <c r="U272" s="174" t="str">
        <f t="shared" si="51"/>
        <v/>
      </c>
      <c r="V272" s="174" t="str">
        <f t="shared" si="51"/>
        <v/>
      </c>
      <c r="W272" s="174" t="str">
        <f t="shared" si="51"/>
        <v/>
      </c>
      <c r="X272" s="174" t="str">
        <f t="shared" si="51"/>
        <v/>
      </c>
      <c r="Y272" s="174" t="str">
        <f t="shared" si="51"/>
        <v/>
      </c>
      <c r="Z272" s="174" t="str">
        <f t="shared" si="51"/>
        <v/>
      </c>
      <c r="AA272" s="174" t="str">
        <f t="shared" si="51"/>
        <v/>
      </c>
      <c r="AB272" s="174" t="str">
        <f t="shared" si="51"/>
        <v/>
      </c>
      <c r="AC272" s="174" t="str">
        <f t="shared" si="51"/>
        <v/>
      </c>
      <c r="AD272" s="174" t="str">
        <f t="shared" si="51"/>
        <v/>
      </c>
      <c r="AE272" s="174" t="str">
        <f t="shared" si="51"/>
        <v/>
      </c>
      <c r="AF272" s="174" t="str">
        <f t="shared" si="51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52">IF(B240&lt;100,"",B240-330)</f>
        <v/>
      </c>
      <c r="C273" s="174" t="str">
        <f t="shared" si="52"/>
        <v/>
      </c>
      <c r="D273" s="174" t="str">
        <f t="shared" si="52"/>
        <v/>
      </c>
      <c r="E273" s="174" t="str">
        <f t="shared" si="52"/>
        <v/>
      </c>
      <c r="F273" s="174" t="str">
        <f t="shared" si="52"/>
        <v/>
      </c>
      <c r="G273" s="174" t="str">
        <f t="shared" si="52"/>
        <v/>
      </c>
      <c r="H273" s="174" t="str">
        <f t="shared" si="52"/>
        <v/>
      </c>
      <c r="I273" s="174" t="str">
        <f t="shared" si="52"/>
        <v/>
      </c>
      <c r="J273" s="174" t="str">
        <f t="shared" si="52"/>
        <v/>
      </c>
      <c r="K273" s="174" t="str">
        <f t="shared" si="52"/>
        <v/>
      </c>
      <c r="L273" s="174" t="str">
        <f t="shared" si="52"/>
        <v/>
      </c>
      <c r="M273" s="174" t="str">
        <f t="shared" si="52"/>
        <v/>
      </c>
      <c r="N273" s="174" t="str">
        <f t="shared" si="52"/>
        <v/>
      </c>
      <c r="O273" s="174" t="str">
        <f t="shared" si="52"/>
        <v/>
      </c>
      <c r="P273" s="174" t="str">
        <f t="shared" si="52"/>
        <v/>
      </c>
      <c r="Q273" s="174" t="str">
        <f t="shared" si="52"/>
        <v/>
      </c>
      <c r="R273" s="174" t="str">
        <f t="shared" si="52"/>
        <v/>
      </c>
      <c r="S273" s="174" t="str">
        <f t="shared" si="52"/>
        <v/>
      </c>
      <c r="T273" s="174" t="str">
        <f t="shared" si="52"/>
        <v/>
      </c>
      <c r="U273" s="174" t="str">
        <f t="shared" si="52"/>
        <v/>
      </c>
      <c r="V273" s="174" t="str">
        <f t="shared" si="52"/>
        <v/>
      </c>
      <c r="W273" s="174" t="str">
        <f t="shared" si="52"/>
        <v/>
      </c>
      <c r="X273" s="174" t="str">
        <f t="shared" si="52"/>
        <v/>
      </c>
      <c r="Y273" s="174" t="str">
        <f t="shared" si="52"/>
        <v/>
      </c>
      <c r="Z273" s="174" t="str">
        <f t="shared" si="52"/>
        <v/>
      </c>
      <c r="AA273" s="174" t="str">
        <f t="shared" si="52"/>
        <v/>
      </c>
      <c r="AB273" s="174" t="str">
        <f t="shared" si="52"/>
        <v/>
      </c>
      <c r="AC273" s="174" t="str">
        <f t="shared" si="52"/>
        <v/>
      </c>
      <c r="AD273" s="174" t="str">
        <f t="shared" si="52"/>
        <v/>
      </c>
      <c r="AE273" s="174" t="str">
        <f t="shared" si="52"/>
        <v/>
      </c>
      <c r="AF273" s="174" t="str">
        <f t="shared" si="52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53">IF(B241&lt;100,"",B241-1500)</f>
        <v/>
      </c>
      <c r="C274" s="174" t="str">
        <f t="shared" si="53"/>
        <v/>
      </c>
      <c r="D274" s="174" t="str">
        <f t="shared" si="53"/>
        <v/>
      </c>
      <c r="E274" s="174" t="str">
        <f t="shared" si="53"/>
        <v/>
      </c>
      <c r="F274" s="174" t="str">
        <f t="shared" si="53"/>
        <v/>
      </c>
      <c r="G274" s="174" t="str">
        <f t="shared" si="53"/>
        <v/>
      </c>
      <c r="H274" s="174" t="str">
        <f t="shared" si="53"/>
        <v/>
      </c>
      <c r="I274" s="174" t="str">
        <f t="shared" si="53"/>
        <v/>
      </c>
      <c r="J274" s="174" t="str">
        <f t="shared" si="53"/>
        <v/>
      </c>
      <c r="K274" s="174" t="str">
        <f t="shared" si="53"/>
        <v/>
      </c>
      <c r="L274" s="174" t="str">
        <f t="shared" si="53"/>
        <v/>
      </c>
      <c r="M274" s="174" t="str">
        <f t="shared" si="53"/>
        <v/>
      </c>
      <c r="N274" s="174" t="str">
        <f t="shared" si="53"/>
        <v/>
      </c>
      <c r="O274" s="174" t="str">
        <f t="shared" si="53"/>
        <v/>
      </c>
      <c r="P274" s="174" t="str">
        <f t="shared" si="53"/>
        <v/>
      </c>
      <c r="Q274" s="174" t="str">
        <f t="shared" si="53"/>
        <v/>
      </c>
      <c r="R274" s="174" t="str">
        <f t="shared" si="53"/>
        <v/>
      </c>
      <c r="S274" s="174" t="str">
        <f t="shared" si="53"/>
        <v/>
      </c>
      <c r="T274" s="174" t="str">
        <f t="shared" si="53"/>
        <v/>
      </c>
      <c r="U274" s="174" t="str">
        <f t="shared" si="53"/>
        <v/>
      </c>
      <c r="V274" s="174" t="str">
        <f t="shared" si="53"/>
        <v/>
      </c>
      <c r="W274" s="174" t="str">
        <f t="shared" si="53"/>
        <v/>
      </c>
      <c r="X274" s="174" t="str">
        <f t="shared" si="53"/>
        <v/>
      </c>
      <c r="Y274" s="174" t="str">
        <f t="shared" si="53"/>
        <v/>
      </c>
      <c r="Z274" s="174" t="str">
        <f t="shared" si="53"/>
        <v/>
      </c>
      <c r="AA274" s="174" t="str">
        <f t="shared" si="53"/>
        <v/>
      </c>
      <c r="AB274" s="174" t="str">
        <f t="shared" si="53"/>
        <v/>
      </c>
      <c r="AC274" s="174" t="str">
        <f t="shared" si="53"/>
        <v/>
      </c>
      <c r="AD274" s="174" t="str">
        <f t="shared" si="53"/>
        <v/>
      </c>
      <c r="AE274" s="174" t="str">
        <f t="shared" si="53"/>
        <v/>
      </c>
      <c r="AF274" s="174" t="str">
        <f t="shared" si="53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349" priority="64">
      <formula>$AH11=0</formula>
    </cfRule>
  </conditionalFormatting>
  <conditionalFormatting sqref="B8 M8 S8 AB8">
    <cfRule type="expression" dxfId="348" priority="115">
      <formula>AND(C$9&gt;=14/24,C$9&lt;20/24)</formula>
    </cfRule>
    <cfRule type="expression" dxfId="347" priority="116">
      <formula>AND(C$9&gt;=8/24,C$9&lt;14/24)</formula>
    </cfRule>
    <cfRule type="expression" dxfId="346" priority="117">
      <formula>C$9&lt;8/24</formula>
    </cfRule>
  </conditionalFormatting>
  <conditionalFormatting sqref="B54:C54">
    <cfRule type="expression" dxfId="345" priority="38">
      <formula>B$9&gt;=20/24</formula>
    </cfRule>
    <cfRule type="expression" dxfId="344" priority="39">
      <formula>AND(B$9&gt;=14/24,B$9&lt;20/24)</formula>
    </cfRule>
    <cfRule type="expression" dxfId="343" priority="40">
      <formula>AND(B$9&gt;=8/24,B$9&lt;14/24)</formula>
    </cfRule>
    <cfRule type="expression" dxfId="342" priority="41">
      <formula>B$9&lt;8/24</formula>
    </cfRule>
  </conditionalFormatting>
  <conditionalFormatting sqref="B54:C66 D55:L66">
    <cfRule type="expression" dxfId="341" priority="33">
      <formula>B54&gt;$AG54</formula>
    </cfRule>
  </conditionalFormatting>
  <conditionalFormatting sqref="B55:L59">
    <cfRule type="expression" dxfId="340" priority="60">
      <formula>B$9&gt;=20/24</formula>
    </cfRule>
    <cfRule type="expression" dxfId="339" priority="61">
      <formula>AND(B$9&gt;=14/24,B$9&lt;20/24)</formula>
    </cfRule>
    <cfRule type="expression" dxfId="338" priority="62">
      <formula>AND(B$9&gt;=8/24,B$9&lt;14/24)</formula>
    </cfRule>
    <cfRule type="expression" dxfId="337" priority="63">
      <formula>B$9&lt;8/24</formula>
    </cfRule>
  </conditionalFormatting>
  <conditionalFormatting sqref="B60:T60">
    <cfRule type="expression" dxfId="336" priority="51">
      <formula>B$9&gt;=20/24</formula>
    </cfRule>
    <cfRule type="expression" dxfId="335" priority="52">
      <formula>AND(B$9&gt;=14/24,B$9&lt;20/24)</formula>
    </cfRule>
    <cfRule type="expression" dxfId="334" priority="53">
      <formula>AND(B$9&gt;=8/24,B$9&lt;14/24)</formula>
    </cfRule>
    <cfRule type="expression" dxfId="333" priority="54">
      <formula>B$9&lt;8/24</formula>
    </cfRule>
  </conditionalFormatting>
  <conditionalFormatting sqref="B61:AF66">
    <cfRule type="expression" dxfId="332" priority="34">
      <formula>B$9&gt;=20/24</formula>
    </cfRule>
    <cfRule type="expression" dxfId="331" priority="35">
      <formula>AND(B$9&gt;=14/24,B$9&lt;20/24)</formula>
    </cfRule>
    <cfRule type="expression" dxfId="330" priority="36">
      <formula>AND(B$9&gt;=8/24,B$9&lt;14/24)</formula>
    </cfRule>
    <cfRule type="expression" dxfId="329" priority="37">
      <formula>B$9&lt;8/24</formula>
    </cfRule>
  </conditionalFormatting>
  <conditionalFormatting sqref="B9:AF45">
    <cfRule type="expression" dxfId="328" priority="23">
      <formula>B$9&gt;=20/24</formula>
    </cfRule>
    <cfRule type="expression" dxfId="327" priority="24">
      <formula>AND(B$9&gt;=14/24,B$9&lt;20/24)</formula>
    </cfRule>
    <cfRule type="expression" dxfId="326" priority="25">
      <formula>AND(B$9&gt;=8/24,B$9&lt;14/24)</formula>
    </cfRule>
    <cfRule type="expression" dxfId="325" priority="26">
      <formula>B$9&lt;8/24</formula>
    </cfRule>
  </conditionalFormatting>
  <conditionalFormatting sqref="B11:AF46">
    <cfRule type="expression" dxfId="324" priority="22">
      <formula>B11&gt;$AG11</formula>
    </cfRule>
  </conditionalFormatting>
  <conditionalFormatting sqref="B46:AF46">
    <cfRule type="expression" dxfId="323" priority="18">
      <formula>B$9&gt;=20/24</formula>
    </cfRule>
    <cfRule type="expression" dxfId="322" priority="19">
      <formula>AND(B$9&gt;=14/24,B$9&lt;20/24)</formula>
    </cfRule>
    <cfRule type="expression" dxfId="321" priority="20">
      <formula>AND(B$9&gt;=8/24,B$9&lt;14/24)</formula>
    </cfRule>
    <cfRule type="expression" dxfId="320" priority="21">
      <formula>B$9&lt;8/24</formula>
    </cfRule>
  </conditionalFormatting>
  <conditionalFormatting sqref="B47:AF47">
    <cfRule type="expression" dxfId="319" priority="32">
      <formula>B47&gt;$AG47</formula>
    </cfRule>
  </conditionalFormatting>
  <conditionalFormatting sqref="B47:AF49">
    <cfRule type="expression" dxfId="318" priority="28">
      <formula>B$9&gt;=20/24</formula>
    </cfRule>
    <cfRule type="expression" dxfId="317" priority="29">
      <formula>AND(B$9&gt;=14/24,B$9&lt;20/24)</formula>
    </cfRule>
    <cfRule type="expression" dxfId="316" priority="30">
      <formula>AND(B$9&gt;=8/24,B$9&lt;14/24)</formula>
    </cfRule>
    <cfRule type="expression" dxfId="315" priority="31">
      <formula>B$9&lt;8/24</formula>
    </cfRule>
  </conditionalFormatting>
  <conditionalFormatting sqref="B48:AF53">
    <cfRule type="expression" dxfId="314" priority="27">
      <formula>B48&gt;$AG48</formula>
    </cfRule>
  </conditionalFormatting>
  <conditionalFormatting sqref="B51:AF53">
    <cfRule type="expression" dxfId="313" priority="47">
      <formula>B$9&gt;=20/24</formula>
    </cfRule>
    <cfRule type="expression" dxfId="312" priority="48">
      <formula>AND(B$9&gt;=14/24,B$9&lt;20/24)</formula>
    </cfRule>
    <cfRule type="expression" dxfId="311" priority="49">
      <formula>AND(B$9&gt;=8/24,B$9&lt;14/24)</formula>
    </cfRule>
    <cfRule type="expression" dxfId="310" priority="50">
      <formula>B$9&lt;8/24</formula>
    </cfRule>
  </conditionalFormatting>
  <conditionalFormatting sqref="B69:AF71">
    <cfRule type="expression" dxfId="309" priority="55">
      <formula>B69&gt;$AG69</formula>
    </cfRule>
    <cfRule type="expression" dxfId="308" priority="56">
      <formula>B$9&gt;=20/24</formula>
    </cfRule>
    <cfRule type="expression" dxfId="307" priority="57">
      <formula>AND(B$9&gt;=14/24,B$9&lt;20/24)</formula>
    </cfRule>
    <cfRule type="expression" dxfId="306" priority="58">
      <formula>AND(B$9&gt;=8/24,B$9&lt;14/24)</formula>
    </cfRule>
    <cfRule type="expression" dxfId="305" priority="59">
      <formula>B$9&lt;8/24</formula>
    </cfRule>
  </conditionalFormatting>
  <conditionalFormatting sqref="B73:AF91">
    <cfRule type="expression" dxfId="304" priority="1">
      <formula>B$9&gt;=20/24</formula>
    </cfRule>
    <cfRule type="expression" dxfId="303" priority="2">
      <formula>AND(B$9&gt;=14/24,B$9&lt;20/24)</formula>
    </cfRule>
    <cfRule type="expression" dxfId="302" priority="3">
      <formula>AND(B$9&gt;=8/24,B$9&lt;14/24)</formula>
    </cfRule>
    <cfRule type="expression" dxfId="301" priority="4">
      <formula>B$9&lt;8/24</formula>
    </cfRule>
  </conditionalFormatting>
  <conditionalFormatting sqref="B111:AF120">
    <cfRule type="expression" dxfId="300" priority="14">
      <formula>B$9&gt;=20/24</formula>
    </cfRule>
    <cfRule type="expression" dxfId="299" priority="15">
      <formula>AND(B$9&gt;=14/24,B$9&lt;20/24)</formula>
    </cfRule>
    <cfRule type="expression" dxfId="298" priority="16">
      <formula>AND(B$9&gt;=8/24,B$9&lt;14/24)</formula>
    </cfRule>
    <cfRule type="expression" dxfId="297" priority="17">
      <formula>B$9&lt;8/24</formula>
    </cfRule>
  </conditionalFormatting>
  <conditionalFormatting sqref="B227:AF227 D229:AF230 B229:B235 D231:H231 J231:AF231 D232:AF235 U248:AF248">
    <cfRule type="expression" dxfId="296" priority="108">
      <formula>B$9&gt;=20/24</formula>
    </cfRule>
    <cfRule type="expression" dxfId="295" priority="109">
      <formula>AND(B$9&gt;=14/24,B$9&lt;20/24)</formula>
    </cfRule>
    <cfRule type="expression" dxfId="294" priority="110">
      <formula>AND(B$9&gt;=8/24,B$9&lt;14/24)</formula>
    </cfRule>
    <cfRule type="expression" dxfId="293" priority="111">
      <formula>B$9&lt;8/24</formula>
    </cfRule>
  </conditionalFormatting>
  <conditionalFormatting sqref="B67:AG68 B72:AG72">
    <cfRule type="expression" dxfId="292" priority="42">
      <formula>B67&gt;$AG67</formula>
    </cfRule>
  </conditionalFormatting>
  <conditionalFormatting sqref="B93:AF109 B72:AG72">
    <cfRule type="expression" dxfId="291" priority="43">
      <formula>B$9&gt;=20/24</formula>
    </cfRule>
    <cfRule type="expression" dxfId="290" priority="44">
      <formula>AND(B$9&gt;=14/24,B$9&lt;20/24)</formula>
    </cfRule>
    <cfRule type="expression" dxfId="289" priority="45">
      <formula>AND(B$9&gt;=8/24,B$9&lt;14/24)</formula>
    </cfRule>
    <cfRule type="expression" dxfId="288" priority="46">
      <formula>B$9&lt;8/24</formula>
    </cfRule>
  </conditionalFormatting>
  <conditionalFormatting sqref="M55:AF66">
    <cfRule type="expression" dxfId="287" priority="5">
      <formula>M55&gt;$AG55</formula>
    </cfRule>
  </conditionalFormatting>
  <conditionalFormatting sqref="D54:AG54">
    <cfRule type="expression" dxfId="286" priority="76">
      <formula>D54&gt;$AG54</formula>
    </cfRule>
    <cfRule type="expression" dxfId="285" priority="77">
      <formula>D$9&gt;=20/24</formula>
    </cfRule>
    <cfRule type="expression" dxfId="284" priority="78">
      <formula>AND(D$9&gt;=14/24,D$9&lt;20/24)</formula>
    </cfRule>
    <cfRule type="expression" dxfId="283" priority="79">
      <formula>AND(D$9&gt;=8/24,D$9&lt;14/24)</formula>
    </cfRule>
    <cfRule type="expression" dxfId="282" priority="80">
      <formula>D$9&lt;8/24</formula>
    </cfRule>
  </conditionalFormatting>
  <conditionalFormatting sqref="M55:T59">
    <cfRule type="expression" dxfId="281" priority="93">
      <formula>M$9&gt;=20/24</formula>
    </cfRule>
    <cfRule type="expression" dxfId="280" priority="94">
      <formula>AND(M$9&gt;=14/24,M$9&lt;20/24)</formula>
    </cfRule>
    <cfRule type="expression" dxfId="279" priority="95">
      <formula>AND(M$9&gt;=8/24,M$9&lt;14/24)</formula>
    </cfRule>
    <cfRule type="expression" dxfId="278" priority="96">
      <formula>M$9&lt;8/24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277" priority="114">
      <formula>C$9&gt;=20/24</formula>
    </cfRule>
  </conditionalFormatting>
  <conditionalFormatting sqref="S8">
    <cfRule type="expression" dxfId="276" priority="101">
      <formula>U$9&gt;=20/24</formula>
    </cfRule>
    <cfRule type="expression" dxfId="275" priority="102">
      <formula>AND(U$9&gt;=14/24,U$9&lt;20/24)</formula>
    </cfRule>
    <cfRule type="expression" dxfId="274" priority="103">
      <formula>AND(U$9&gt;=8/24,U$9&lt;14/24)</formula>
    </cfRule>
    <cfRule type="expression" dxfId="273" priority="104">
      <formula>U$9&lt;8/24</formula>
    </cfRule>
  </conditionalFormatting>
  <conditionalFormatting sqref="S55:AF60">
    <cfRule type="expression" dxfId="272" priority="10">
      <formula>S$9&gt;=20/24</formula>
    </cfRule>
    <cfRule type="expression" dxfId="271" priority="11">
      <formula>AND(S$9&gt;=14/24,S$9&lt;20/24)</formula>
    </cfRule>
    <cfRule type="expression" dxfId="270" priority="12">
      <formula>AND(S$9&gt;=8/24,S$9&lt;14/24)</formula>
    </cfRule>
    <cfRule type="expression" dxfId="269" priority="13">
      <formula>S$9&lt;8/24</formula>
    </cfRule>
  </conditionalFormatting>
  <conditionalFormatting sqref="T248">
    <cfRule type="expression" dxfId="268" priority="126">
      <formula>AX$9&gt;=20/24</formula>
    </cfRule>
    <cfRule type="expression" dxfId="267" priority="127">
      <formula>AND(AX$9&gt;=14/24,AX$9&lt;20/24)</formula>
    </cfRule>
    <cfRule type="expression" dxfId="266" priority="128">
      <formula>AND(AX$9&gt;=8/24,AX$9&lt;14/24)</formula>
    </cfRule>
    <cfRule type="expression" dxfId="265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264" priority="97">
      <formula>AD$9&gt;=20/24</formula>
    </cfRule>
    <cfRule type="expression" dxfId="263" priority="98">
      <formula>AND(AD$9&gt;=14/24,AD$9&lt;20/24)</formula>
    </cfRule>
    <cfRule type="expression" dxfId="262" priority="99">
      <formula>AND(AD$9&gt;=8/24,AD$9&lt;14/24)</formula>
    </cfRule>
    <cfRule type="expression" dxfId="261" priority="100">
      <formula>AD$9&lt;8/24</formula>
    </cfRule>
  </conditionalFormatting>
  <conditionalFormatting sqref="AG50">
    <cfRule type="expression" dxfId="260" priority="84">
      <formula>AG50&gt;$AG50</formula>
    </cfRule>
  </conditionalFormatting>
  <conditionalFormatting sqref="AG89">
    <cfRule type="expression" dxfId="259" priority="85">
      <formula>AG$9&gt;=20/24</formula>
    </cfRule>
    <cfRule type="expression" dxfId="258" priority="86">
      <formula>AND(AG$9&gt;=14/24,AG$9&lt;20/24)</formula>
    </cfRule>
    <cfRule type="expression" dxfId="257" priority="87">
      <formula>AND(AG$9&gt;=8/24,AG$9&lt;14/24)</formula>
    </cfRule>
    <cfRule type="expression" dxfId="256" priority="88">
      <formula>AG$9&lt;8/24</formula>
    </cfRule>
  </conditionalFormatting>
  <conditionalFormatting sqref="AG248">
    <cfRule type="expression" dxfId="255" priority="118">
      <formula>B$9&gt;=20/24</formula>
    </cfRule>
    <cfRule type="expression" dxfId="254" priority="119">
      <formula>AND(B$9&gt;=14/24,B$9&lt;20/24)</formula>
    </cfRule>
    <cfRule type="expression" dxfId="253" priority="120">
      <formula>AND(B$9&gt;=8/24,B$9&lt;14/24)</formula>
    </cfRule>
    <cfRule type="expression" dxfId="252" priority="121">
      <formula>B$9&lt;8/24</formula>
    </cfRule>
  </conditionalFormatting>
  <conditionalFormatting sqref="AH248:AX248">
    <cfRule type="expression" dxfId="251" priority="122">
      <formula>AG$9&gt;=20/24</formula>
    </cfRule>
    <cfRule type="expression" dxfId="250" priority="123">
      <formula>AND(AG$9&gt;=14/24,AG$9&lt;20/24)</formula>
    </cfRule>
    <cfRule type="expression" dxfId="249" priority="124">
      <formula>AND(AG$9&gt;=8/24,AG$9&lt;14/24)</formula>
    </cfRule>
    <cfRule type="expression" dxfId="248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247" priority="131">
      <formula>AJ$9&gt;=20/24</formula>
    </cfRule>
    <cfRule type="expression" dxfId="246" priority="132">
      <formula>AND(AJ$9&gt;=14/24,AJ$9&lt;20/24)</formula>
    </cfRule>
    <cfRule type="expression" dxfId="245" priority="133">
      <formula>AND(AJ$9&gt;=8/24,AJ$9&lt;14/24)</formula>
    </cfRule>
    <cfRule type="expression" dxfId="244" priority="134">
      <formula>AJ$9&lt;8/24</formula>
    </cfRule>
  </conditionalFormatting>
  <conditionalFormatting sqref="AL80:AN80 AL86:AN86">
    <cfRule type="expression" dxfId="243" priority="72">
      <formula>AL$9&gt;=20/24</formula>
    </cfRule>
    <cfRule type="expression" dxfId="242" priority="73">
      <formula>AND(AL$9&gt;=14/24,AL$9&lt;20/24)</formula>
    </cfRule>
    <cfRule type="expression" dxfId="241" priority="74">
      <formula>AND(AL$9&gt;=8/24,AL$9&lt;14/24)</formula>
    </cfRule>
    <cfRule type="expression" dxfId="240" priority="75">
      <formula>AL$9&lt;8/24</formula>
    </cfRule>
  </conditionalFormatting>
  <conditionalFormatting sqref="AN81:AN84">
    <cfRule type="expression" dxfId="239" priority="68">
      <formula>AN$9&gt;=20/24</formula>
    </cfRule>
    <cfRule type="expression" dxfId="238" priority="69">
      <formula>AND(AN$9&gt;=14/24,AN$9&lt;20/24)</formula>
    </cfRule>
    <cfRule type="expression" dxfId="237" priority="70">
      <formula>AND(AN$9&gt;=8/24,AN$9&lt;14/24)</formula>
    </cfRule>
    <cfRule type="expression" dxfId="236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317A3-8766-4B42-940C-F5A1228A44FD}">
  <sheetPr codeName="Sheet54"/>
  <dimension ref="A1:CJ281"/>
  <sheetViews>
    <sheetView workbookViewId="0">
      <pane xSplit="1" ySplit="10" topLeftCell="B65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J79" sqref="J79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1" width="7.7109375" style="1" customWidth="1"/>
    <col min="12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str">
        <f ca="1">"2080/"&amp;"06/"&amp;INT(MID(CELL("filename",D6),FIND("]",CELL("filename",D6))+1,200))</f>
        <v>2080/06/30</v>
      </c>
      <c r="C4" s="201"/>
      <c r="D4" s="201"/>
      <c r="E4" s="202" t="str">
        <f ca="1">"2080/"&amp;"06/"&amp;INT(MID(CELL("filename",G6),FIND("]",CELL("filename",G6))+1,200))</f>
        <v>2080/06/30</v>
      </c>
      <c r="F4" s="202"/>
      <c r="G4" s="202"/>
      <c r="H4" s="202" t="str">
        <f ca="1">TEXT(E4,"dddd")</f>
        <v>Sunday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2092MW at 9:00hr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1682.94</v>
      </c>
      <c r="C7" s="35">
        <f t="shared" si="1"/>
        <v>1705.3400000000001</v>
      </c>
      <c r="D7" s="35">
        <f t="shared" si="1"/>
        <v>1634.3400000000001</v>
      </c>
      <c r="E7" s="35">
        <f t="shared" si="1"/>
        <v>1670.44</v>
      </c>
      <c r="F7" s="35">
        <f t="shared" si="1"/>
        <v>1681.64</v>
      </c>
      <c r="G7" s="35">
        <f t="shared" si="1"/>
        <v>1757.94</v>
      </c>
      <c r="H7" s="35">
        <f t="shared" si="1"/>
        <v>1756.94</v>
      </c>
      <c r="I7" s="35">
        <f t="shared" si="1"/>
        <v>1768.44</v>
      </c>
      <c r="J7" s="35">
        <f t="shared" si="1"/>
        <v>1788.54</v>
      </c>
      <c r="K7" s="35">
        <f t="shared" si="1"/>
        <v>1857.1399999999999</v>
      </c>
      <c r="L7" s="35">
        <f t="shared" si="1"/>
        <v>1921.44</v>
      </c>
      <c r="M7" s="35">
        <f t="shared" si="1"/>
        <v>1960.44</v>
      </c>
      <c r="N7" s="35">
        <f>N91</f>
        <v>2091.64</v>
      </c>
      <c r="O7" s="35">
        <f t="shared" si="1"/>
        <v>2064.34</v>
      </c>
      <c r="P7" s="35">
        <f t="shared" si="1"/>
        <v>2067.7400000000002</v>
      </c>
      <c r="Q7" s="35">
        <f t="shared" si="1"/>
        <v>1997.44</v>
      </c>
      <c r="R7" s="35">
        <f t="shared" si="1"/>
        <v>1969.44</v>
      </c>
      <c r="S7" s="35">
        <f t="shared" si="1"/>
        <v>1966.34</v>
      </c>
      <c r="T7" s="35">
        <f t="shared" si="1"/>
        <v>1974.94</v>
      </c>
      <c r="U7" s="35">
        <f t="shared" si="1"/>
        <v>1997.64</v>
      </c>
      <c r="V7" s="35">
        <f t="shared" si="1"/>
        <v>1963.8400000000001</v>
      </c>
      <c r="W7" s="35">
        <f t="shared" si="1"/>
        <v>2018.3400000000001</v>
      </c>
      <c r="X7" s="35">
        <f t="shared" si="1"/>
        <v>2129.2400000000002</v>
      </c>
      <c r="Y7" s="35">
        <f t="shared" si="1"/>
        <v>2170.44</v>
      </c>
      <c r="Z7" s="35">
        <f t="shared" si="1"/>
        <v>2078.64</v>
      </c>
      <c r="AA7" s="35">
        <f t="shared" si="1"/>
        <v>3.54</v>
      </c>
      <c r="AB7" s="35">
        <f t="shared" si="1"/>
        <v>3.54</v>
      </c>
      <c r="AC7" s="35">
        <f t="shared" si="1"/>
        <v>1927.8400000000001</v>
      </c>
      <c r="AD7" s="35">
        <f t="shared" si="1"/>
        <v>1910.14</v>
      </c>
      <c r="AE7" s="35">
        <f t="shared" si="1"/>
        <v>1888.24</v>
      </c>
      <c r="AF7" s="35">
        <f t="shared" si="1"/>
        <v>1818.44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>
        <v>90.4</v>
      </c>
      <c r="C11" s="45">
        <v>90.4</v>
      </c>
      <c r="D11" s="45">
        <v>90.4</v>
      </c>
      <c r="E11" s="45">
        <v>90.4</v>
      </c>
      <c r="F11" s="45">
        <v>90.4</v>
      </c>
      <c r="G11" s="45">
        <v>90.4</v>
      </c>
      <c r="H11" s="45">
        <v>90.4</v>
      </c>
      <c r="I11" s="45">
        <v>90.4</v>
      </c>
      <c r="J11" s="45">
        <v>90.4</v>
      </c>
      <c r="K11" s="45">
        <v>90.4</v>
      </c>
      <c r="L11" s="45">
        <v>90.4</v>
      </c>
      <c r="M11" s="45">
        <v>90.4</v>
      </c>
      <c r="N11" s="45">
        <v>90.4</v>
      </c>
      <c r="O11" s="45">
        <v>90.4</v>
      </c>
      <c r="P11" s="45">
        <v>90.4</v>
      </c>
      <c r="Q11" s="45">
        <v>90.4</v>
      </c>
      <c r="R11" s="45">
        <v>90.4</v>
      </c>
      <c r="S11" s="45">
        <v>90.4</v>
      </c>
      <c r="T11" s="45">
        <v>90.4</v>
      </c>
      <c r="U11" s="45">
        <v>90.4</v>
      </c>
      <c r="V11" s="45">
        <v>90.4</v>
      </c>
      <c r="W11" s="45">
        <v>90.4</v>
      </c>
      <c r="X11" s="45">
        <v>90.4</v>
      </c>
      <c r="Y11" s="45">
        <v>90.4</v>
      </c>
      <c r="Z11" s="45">
        <v>90.4</v>
      </c>
      <c r="AA11" s="45"/>
      <c r="AB11" s="45"/>
      <c r="AC11" s="45">
        <v>90.4</v>
      </c>
      <c r="AD11" s="45">
        <v>90.4</v>
      </c>
      <c r="AE11" s="45">
        <v>90.4</v>
      </c>
      <c r="AF11" s="45">
        <v>90.4</v>
      </c>
      <c r="AG11" s="46">
        <v>86</v>
      </c>
      <c r="AH11" s="47">
        <f t="shared" ref="AH11:AH76" si="2">MAX(B11:AF11)</f>
        <v>90.4</v>
      </c>
      <c r="AI11" s="48">
        <f t="shared" ref="AI11:AI76" si="3">MIN(B11:AF11)</f>
        <v>90.4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5</v>
      </c>
      <c r="J12" s="45">
        <v>5</v>
      </c>
      <c r="K12" s="45">
        <v>5</v>
      </c>
      <c r="L12" s="45">
        <v>13.5</v>
      </c>
      <c r="M12" s="45">
        <v>13.5</v>
      </c>
      <c r="N12" s="45">
        <v>13</v>
      </c>
      <c r="O12" s="45">
        <v>13</v>
      </c>
      <c r="P12" s="45">
        <v>13</v>
      </c>
      <c r="Q12" s="45">
        <v>13</v>
      </c>
      <c r="R12" s="45">
        <v>13</v>
      </c>
      <c r="S12" s="45">
        <v>13</v>
      </c>
      <c r="T12" s="45">
        <v>13</v>
      </c>
      <c r="U12" s="45">
        <v>13</v>
      </c>
      <c r="V12" s="45">
        <v>13</v>
      </c>
      <c r="W12" s="45">
        <v>13</v>
      </c>
      <c r="X12" s="45">
        <v>13</v>
      </c>
      <c r="Y12" s="45">
        <v>13</v>
      </c>
      <c r="Z12" s="45">
        <v>13</v>
      </c>
      <c r="AA12" s="45"/>
      <c r="AB12" s="45"/>
      <c r="AC12" s="45">
        <v>13</v>
      </c>
      <c r="AD12" s="45">
        <v>13</v>
      </c>
      <c r="AE12" s="45">
        <v>9</v>
      </c>
      <c r="AF12" s="45">
        <v>9</v>
      </c>
      <c r="AG12" s="49">
        <v>54</v>
      </c>
      <c r="AH12" s="47">
        <f t="shared" si="2"/>
        <v>13.5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>
        <v>54.1</v>
      </c>
      <c r="C13" s="45">
        <v>54.1</v>
      </c>
      <c r="D13" s="45">
        <v>54.1</v>
      </c>
      <c r="E13" s="45">
        <v>54.1</v>
      </c>
      <c r="F13" s="45">
        <v>54.1</v>
      </c>
      <c r="G13" s="45">
        <v>54.1</v>
      </c>
      <c r="H13" s="45">
        <v>54.1</v>
      </c>
      <c r="I13" s="45">
        <v>45.7</v>
      </c>
      <c r="J13" s="45">
        <v>45.7</v>
      </c>
      <c r="K13" s="45">
        <v>45.7</v>
      </c>
      <c r="L13" s="45">
        <v>45.7</v>
      </c>
      <c r="M13" s="45">
        <v>45.7</v>
      </c>
      <c r="N13" s="45">
        <v>45.7</v>
      </c>
      <c r="O13" s="45">
        <v>45.7</v>
      </c>
      <c r="P13" s="45">
        <v>45.7</v>
      </c>
      <c r="Q13" s="45">
        <v>45.7</v>
      </c>
      <c r="R13" s="45">
        <v>45.7</v>
      </c>
      <c r="S13" s="45">
        <v>45.7</v>
      </c>
      <c r="T13" s="45">
        <v>45.7</v>
      </c>
      <c r="U13" s="45">
        <v>45.7</v>
      </c>
      <c r="V13" s="45">
        <v>45.7</v>
      </c>
      <c r="W13" s="45">
        <v>45.7</v>
      </c>
      <c r="X13" s="45">
        <v>45.7</v>
      </c>
      <c r="Y13" s="45">
        <v>54</v>
      </c>
      <c r="Z13" s="45">
        <v>54</v>
      </c>
      <c r="AA13" s="45"/>
      <c r="AB13" s="45"/>
      <c r="AC13" s="45">
        <v>54</v>
      </c>
      <c r="AD13" s="45">
        <v>54</v>
      </c>
      <c r="AE13" s="45">
        <v>54.1</v>
      </c>
      <c r="AF13" s="45">
        <v>54.1</v>
      </c>
      <c r="AG13" s="46">
        <v>52.4</v>
      </c>
      <c r="AH13" s="47">
        <f t="shared" si="2"/>
        <v>54.1</v>
      </c>
      <c r="AI13" s="48">
        <f t="shared" si="3"/>
        <v>45.7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>
        <v>50.4</v>
      </c>
      <c r="C14" s="58">
        <v>50.4</v>
      </c>
      <c r="D14" s="58">
        <v>50.4</v>
      </c>
      <c r="E14" s="58">
        <v>50.4</v>
      </c>
      <c r="F14" s="58">
        <v>50.4</v>
      </c>
      <c r="G14" s="58">
        <v>50.4</v>
      </c>
      <c r="H14" s="58">
        <v>50.4</v>
      </c>
      <c r="I14" s="58">
        <v>50.4</v>
      </c>
      <c r="J14" s="58">
        <v>50.4</v>
      </c>
      <c r="K14" s="58">
        <v>50.4</v>
      </c>
      <c r="L14" s="58">
        <v>50.4</v>
      </c>
      <c r="M14" s="58">
        <v>50.4</v>
      </c>
      <c r="N14" s="58">
        <v>50.4</v>
      </c>
      <c r="O14" s="58">
        <v>50.4</v>
      </c>
      <c r="P14" s="58">
        <v>50.4</v>
      </c>
      <c r="Q14" s="58">
        <v>50.4</v>
      </c>
      <c r="R14" s="58">
        <v>50.4</v>
      </c>
      <c r="S14" s="58">
        <v>50.4</v>
      </c>
      <c r="T14" s="58">
        <v>50.4</v>
      </c>
      <c r="U14" s="58">
        <v>50.4</v>
      </c>
      <c r="V14" s="58">
        <v>50.4</v>
      </c>
      <c r="W14" s="58">
        <v>50.4</v>
      </c>
      <c r="X14" s="58">
        <v>50.4</v>
      </c>
      <c r="Y14" s="58">
        <v>50.4</v>
      </c>
      <c r="Z14" s="58">
        <v>50.4</v>
      </c>
      <c r="AA14" s="45"/>
      <c r="AB14" s="45"/>
      <c r="AC14" s="45">
        <v>50.4</v>
      </c>
      <c r="AD14" s="45">
        <v>50.4</v>
      </c>
      <c r="AE14" s="45">
        <v>50.4</v>
      </c>
      <c r="AF14" s="45">
        <v>50.4</v>
      </c>
      <c r="AG14" s="49">
        <v>50</v>
      </c>
      <c r="AH14" s="47">
        <f t="shared" si="2"/>
        <v>50.4</v>
      </c>
      <c r="AI14" s="48">
        <f t="shared" si="3"/>
        <v>50.4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>
        <v>37.700000000000003</v>
      </c>
      <c r="C15" s="45">
        <v>37.700000000000003</v>
      </c>
      <c r="D15" s="45">
        <v>37.700000000000003</v>
      </c>
      <c r="E15" s="45">
        <v>37.700000000000003</v>
      </c>
      <c r="F15" s="45">
        <v>37.700000000000003</v>
      </c>
      <c r="G15" s="45">
        <v>37.700000000000003</v>
      </c>
      <c r="H15" s="45">
        <v>37.700000000000003</v>
      </c>
      <c r="I15" s="45">
        <v>37.700000000000003</v>
      </c>
      <c r="J15" s="45">
        <v>37.700000000000003</v>
      </c>
      <c r="K15" s="45">
        <v>37.700000000000003</v>
      </c>
      <c r="L15" s="45">
        <v>37.700000000000003</v>
      </c>
      <c r="M15" s="45">
        <v>37.700000000000003</v>
      </c>
      <c r="N15" s="45">
        <v>37.700000000000003</v>
      </c>
      <c r="O15" s="45">
        <v>37.700000000000003</v>
      </c>
      <c r="P15" s="45">
        <v>37.700000000000003</v>
      </c>
      <c r="Q15" s="45">
        <v>37.700000000000003</v>
      </c>
      <c r="R15" s="45">
        <v>37.700000000000003</v>
      </c>
      <c r="S15" s="45">
        <v>37.700000000000003</v>
      </c>
      <c r="T15" s="45">
        <v>37.700000000000003</v>
      </c>
      <c r="U15" s="45">
        <v>37.700000000000003</v>
      </c>
      <c r="V15" s="45">
        <v>37.700000000000003</v>
      </c>
      <c r="W15" s="45">
        <v>37.700000000000003</v>
      </c>
      <c r="X15" s="45">
        <v>37.700000000000003</v>
      </c>
      <c r="Y15" s="45">
        <v>37.700000000000003</v>
      </c>
      <c r="Z15" s="45">
        <v>37.700000000000003</v>
      </c>
      <c r="AA15" s="45"/>
      <c r="AB15" s="45"/>
      <c r="AC15" s="45">
        <v>37.700000000000003</v>
      </c>
      <c r="AD15" s="45">
        <v>37.700000000000003</v>
      </c>
      <c r="AE15" s="45">
        <v>37.700000000000003</v>
      </c>
      <c r="AF15" s="45">
        <v>37.700000000000003</v>
      </c>
      <c r="AG15" s="49">
        <v>45</v>
      </c>
      <c r="AH15" s="47">
        <f t="shared" si="2"/>
        <v>37.700000000000003</v>
      </c>
      <c r="AI15" s="48">
        <f t="shared" si="3"/>
        <v>37.700000000000003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>
        <v>30</v>
      </c>
      <c r="C16" s="45">
        <v>30</v>
      </c>
      <c r="D16" s="45">
        <v>30</v>
      </c>
      <c r="E16" s="45">
        <v>44</v>
      </c>
      <c r="F16" s="45">
        <v>44</v>
      </c>
      <c r="G16" s="45">
        <v>44</v>
      </c>
      <c r="H16" s="45">
        <v>44</v>
      </c>
      <c r="I16" s="45">
        <v>44</v>
      </c>
      <c r="J16" s="45">
        <v>44</v>
      </c>
      <c r="K16" s="45">
        <v>44</v>
      </c>
      <c r="L16" s="45">
        <v>44</v>
      </c>
      <c r="M16" s="45">
        <v>44</v>
      </c>
      <c r="N16" s="45">
        <v>44</v>
      </c>
      <c r="O16" s="45">
        <v>44</v>
      </c>
      <c r="P16" s="45">
        <v>44</v>
      </c>
      <c r="Q16" s="45">
        <v>44</v>
      </c>
      <c r="R16" s="45">
        <v>44</v>
      </c>
      <c r="S16" s="45">
        <v>34</v>
      </c>
      <c r="T16" s="45">
        <v>44</v>
      </c>
      <c r="U16" s="45">
        <v>44</v>
      </c>
      <c r="V16" s="45">
        <v>44</v>
      </c>
      <c r="W16" s="45">
        <v>44</v>
      </c>
      <c r="X16" s="45">
        <v>44</v>
      </c>
      <c r="Y16" s="45">
        <v>44</v>
      </c>
      <c r="Z16" s="45">
        <v>44</v>
      </c>
      <c r="AA16" s="45"/>
      <c r="AB16" s="45"/>
      <c r="AC16" s="45">
        <v>44</v>
      </c>
      <c r="AD16" s="45">
        <v>44</v>
      </c>
      <c r="AE16" s="45">
        <v>25</v>
      </c>
      <c r="AF16" s="45">
        <v>44</v>
      </c>
      <c r="AG16" s="49">
        <v>44</v>
      </c>
      <c r="AH16" s="47">
        <f>MAX(B16:AG16)</f>
        <v>44</v>
      </c>
      <c r="AI16" s="48">
        <f>MIN(B16:AG16)</f>
        <v>25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>
        <v>15</v>
      </c>
      <c r="C17" s="45">
        <v>28</v>
      </c>
      <c r="D17" s="45">
        <v>28</v>
      </c>
      <c r="E17" s="45">
        <v>28</v>
      </c>
      <c r="F17" s="45">
        <v>28</v>
      </c>
      <c r="G17" s="45">
        <v>28</v>
      </c>
      <c r="H17" s="45">
        <v>28</v>
      </c>
      <c r="I17" s="45">
        <v>28</v>
      </c>
      <c r="J17" s="45">
        <v>28</v>
      </c>
      <c r="K17" s="45">
        <v>28</v>
      </c>
      <c r="L17" s="45">
        <v>28</v>
      </c>
      <c r="M17" s="45">
        <v>28</v>
      </c>
      <c r="N17" s="45">
        <v>28</v>
      </c>
      <c r="O17" s="45">
        <v>28</v>
      </c>
      <c r="P17" s="45">
        <v>28</v>
      </c>
      <c r="Q17" s="45">
        <v>28</v>
      </c>
      <c r="R17" s="45">
        <v>28</v>
      </c>
      <c r="S17" s="45">
        <v>28</v>
      </c>
      <c r="T17" s="45">
        <v>28</v>
      </c>
      <c r="U17" s="45">
        <v>37</v>
      </c>
      <c r="V17" s="45">
        <v>37</v>
      </c>
      <c r="W17" s="45">
        <v>30</v>
      </c>
      <c r="X17" s="45">
        <v>42</v>
      </c>
      <c r="Y17" s="45">
        <v>42</v>
      </c>
      <c r="Z17" s="45">
        <v>42</v>
      </c>
      <c r="AA17" s="45"/>
      <c r="AB17" s="45"/>
      <c r="AC17" s="45">
        <v>21</v>
      </c>
      <c r="AD17" s="45">
        <v>21</v>
      </c>
      <c r="AE17" s="45">
        <v>21</v>
      </c>
      <c r="AF17" s="45">
        <v>21</v>
      </c>
      <c r="AG17" s="49">
        <v>42</v>
      </c>
      <c r="AH17" s="47">
        <f t="shared" si="2"/>
        <v>42</v>
      </c>
      <c r="AI17" s="48">
        <f t="shared" si="3"/>
        <v>15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>
        <v>27</v>
      </c>
      <c r="C18" s="45">
        <v>27</v>
      </c>
      <c r="D18" s="45">
        <v>27</v>
      </c>
      <c r="E18" s="45">
        <v>27</v>
      </c>
      <c r="F18" s="45">
        <v>27</v>
      </c>
      <c r="G18" s="45">
        <v>27</v>
      </c>
      <c r="H18" s="45">
        <v>27</v>
      </c>
      <c r="I18" s="45">
        <v>27</v>
      </c>
      <c r="J18" s="45">
        <v>27</v>
      </c>
      <c r="K18" s="45">
        <v>27</v>
      </c>
      <c r="L18" s="45">
        <v>27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/>
      <c r="AB18" s="45"/>
      <c r="AC18" s="45">
        <v>0</v>
      </c>
      <c r="AD18" s="45">
        <v>0</v>
      </c>
      <c r="AE18" s="45">
        <v>0</v>
      </c>
      <c r="AF18" s="45">
        <v>0</v>
      </c>
      <c r="AG18" s="49">
        <v>38.46</v>
      </c>
      <c r="AH18" s="47">
        <f t="shared" si="2"/>
        <v>27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>
        <v>24</v>
      </c>
      <c r="C19" s="45">
        <v>24</v>
      </c>
      <c r="D19" s="45">
        <v>24</v>
      </c>
      <c r="E19" s="45">
        <v>24</v>
      </c>
      <c r="F19" s="45">
        <v>24</v>
      </c>
      <c r="G19" s="45">
        <v>24</v>
      </c>
      <c r="H19" s="45">
        <v>24</v>
      </c>
      <c r="I19" s="45">
        <v>24</v>
      </c>
      <c r="J19" s="45">
        <v>24</v>
      </c>
      <c r="K19" s="45">
        <v>24</v>
      </c>
      <c r="L19" s="45">
        <v>24</v>
      </c>
      <c r="M19" s="45">
        <v>24</v>
      </c>
      <c r="N19" s="45">
        <v>24</v>
      </c>
      <c r="O19" s="45">
        <v>24</v>
      </c>
      <c r="P19" s="45">
        <v>24</v>
      </c>
      <c r="Q19" s="45">
        <v>24</v>
      </c>
      <c r="R19" s="45">
        <v>24</v>
      </c>
      <c r="S19" s="45">
        <v>24</v>
      </c>
      <c r="T19" s="45">
        <v>24</v>
      </c>
      <c r="U19" s="45">
        <v>24</v>
      </c>
      <c r="V19" s="45">
        <v>24</v>
      </c>
      <c r="W19" s="45">
        <v>24</v>
      </c>
      <c r="X19" s="45">
        <v>24</v>
      </c>
      <c r="Y19" s="45">
        <v>24</v>
      </c>
      <c r="Z19" s="45">
        <v>24</v>
      </c>
      <c r="AA19" s="45"/>
      <c r="AB19" s="45"/>
      <c r="AC19" s="45">
        <v>24</v>
      </c>
      <c r="AD19" s="45">
        <v>24</v>
      </c>
      <c r="AE19" s="45">
        <v>24</v>
      </c>
      <c r="AF19" s="45">
        <v>24</v>
      </c>
      <c r="AG19" s="49">
        <v>36</v>
      </c>
      <c r="AH19" s="47">
        <f t="shared" si="2"/>
        <v>24</v>
      </c>
      <c r="AI19" s="48">
        <f t="shared" si="3"/>
        <v>24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>
        <v>0</v>
      </c>
      <c r="C20" s="45">
        <v>5</v>
      </c>
      <c r="D20" s="45">
        <v>5</v>
      </c>
      <c r="E20" s="45">
        <v>5</v>
      </c>
      <c r="F20" s="45">
        <v>5</v>
      </c>
      <c r="G20" s="45">
        <v>5</v>
      </c>
      <c r="H20" s="45">
        <v>5</v>
      </c>
      <c r="I20" s="45">
        <v>5</v>
      </c>
      <c r="J20" s="45">
        <v>5</v>
      </c>
      <c r="K20" s="45">
        <v>5</v>
      </c>
      <c r="L20" s="45">
        <v>5</v>
      </c>
      <c r="M20" s="45">
        <v>15</v>
      </c>
      <c r="N20" s="45">
        <v>30</v>
      </c>
      <c r="O20" s="45">
        <v>30</v>
      </c>
      <c r="P20" s="45">
        <v>30</v>
      </c>
      <c r="Q20" s="45">
        <v>15</v>
      </c>
      <c r="R20" s="45">
        <v>15</v>
      </c>
      <c r="S20" s="45">
        <v>15</v>
      </c>
      <c r="T20" s="45">
        <v>10.5</v>
      </c>
      <c r="U20" s="45">
        <v>15.6</v>
      </c>
      <c r="V20" s="45">
        <v>15.6</v>
      </c>
      <c r="W20" s="45">
        <v>30</v>
      </c>
      <c r="X20" s="45">
        <v>30</v>
      </c>
      <c r="Y20" s="45">
        <v>30</v>
      </c>
      <c r="Z20" s="45">
        <v>30</v>
      </c>
      <c r="AA20" s="45"/>
      <c r="AB20" s="45"/>
      <c r="AC20" s="45">
        <v>5</v>
      </c>
      <c r="AD20" s="45">
        <v>5</v>
      </c>
      <c r="AE20" s="45">
        <v>5</v>
      </c>
      <c r="AF20" s="45">
        <v>5</v>
      </c>
      <c r="AG20" s="51">
        <v>30</v>
      </c>
      <c r="AH20" s="47">
        <f t="shared" si="2"/>
        <v>30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>
        <v>32.4</v>
      </c>
      <c r="C21" s="45">
        <v>32.4</v>
      </c>
      <c r="D21" s="45">
        <v>32.4</v>
      </c>
      <c r="E21" s="45">
        <v>32.4</v>
      </c>
      <c r="F21" s="45">
        <v>32.4</v>
      </c>
      <c r="G21" s="45">
        <v>32.4</v>
      </c>
      <c r="H21" s="45">
        <v>32.4</v>
      </c>
      <c r="I21" s="45">
        <v>32.4</v>
      </c>
      <c r="J21" s="45">
        <v>32.4</v>
      </c>
      <c r="K21" s="45">
        <v>32.4</v>
      </c>
      <c r="L21" s="45">
        <v>32.4</v>
      </c>
      <c r="M21" s="45">
        <v>32.4</v>
      </c>
      <c r="N21" s="45">
        <v>32.4</v>
      </c>
      <c r="O21" s="45">
        <v>32.4</v>
      </c>
      <c r="P21" s="45">
        <v>32.4</v>
      </c>
      <c r="Q21" s="45">
        <v>32.4</v>
      </c>
      <c r="R21" s="45">
        <v>32.4</v>
      </c>
      <c r="S21" s="45">
        <v>32.4</v>
      </c>
      <c r="T21" s="45">
        <v>32.4</v>
      </c>
      <c r="U21" s="45">
        <v>31.3</v>
      </c>
      <c r="V21" s="45">
        <v>31.3</v>
      </c>
      <c r="W21" s="45">
        <v>31.3</v>
      </c>
      <c r="X21" s="45">
        <v>31.3</v>
      </c>
      <c r="Y21" s="45">
        <v>31.3</v>
      </c>
      <c r="Z21" s="45">
        <v>31.3</v>
      </c>
      <c r="AA21" s="45"/>
      <c r="AB21" s="45"/>
      <c r="AC21" s="45">
        <v>31.3</v>
      </c>
      <c r="AD21" s="45">
        <v>31.3</v>
      </c>
      <c r="AE21" s="45">
        <v>31.3</v>
      </c>
      <c r="AF21" s="45">
        <v>31.3</v>
      </c>
      <c r="AG21" s="49">
        <v>24.2</v>
      </c>
      <c r="AH21" s="47">
        <f t="shared" si="2"/>
        <v>32.4</v>
      </c>
      <c r="AI21" s="48">
        <f t="shared" si="3"/>
        <v>31.3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>
        <v>28</v>
      </c>
      <c r="C22" s="45">
        <v>28</v>
      </c>
      <c r="D22" s="45">
        <v>28</v>
      </c>
      <c r="E22" s="45">
        <v>28</v>
      </c>
      <c r="F22" s="45">
        <v>28</v>
      </c>
      <c r="G22" s="45">
        <v>28</v>
      </c>
      <c r="H22" s="45">
        <v>28</v>
      </c>
      <c r="I22" s="45">
        <v>28</v>
      </c>
      <c r="J22" s="45">
        <v>28</v>
      </c>
      <c r="K22" s="45">
        <v>28</v>
      </c>
      <c r="L22" s="45">
        <v>28</v>
      </c>
      <c r="M22" s="45">
        <v>28</v>
      </c>
      <c r="N22" s="45">
        <v>28</v>
      </c>
      <c r="O22" s="45">
        <v>28</v>
      </c>
      <c r="P22" s="45">
        <v>28</v>
      </c>
      <c r="Q22" s="45">
        <v>28</v>
      </c>
      <c r="R22" s="45">
        <v>28</v>
      </c>
      <c r="S22" s="45">
        <v>28</v>
      </c>
      <c r="T22" s="45">
        <v>28</v>
      </c>
      <c r="U22" s="45">
        <v>28</v>
      </c>
      <c r="V22" s="45">
        <v>28</v>
      </c>
      <c r="W22" s="45">
        <v>28</v>
      </c>
      <c r="X22" s="45">
        <v>28</v>
      </c>
      <c r="Y22" s="45">
        <v>28</v>
      </c>
      <c r="Z22" s="45">
        <v>28</v>
      </c>
      <c r="AA22" s="45"/>
      <c r="AB22" s="45"/>
      <c r="AC22" s="45">
        <v>28</v>
      </c>
      <c r="AD22" s="45">
        <v>28</v>
      </c>
      <c r="AE22" s="45">
        <v>28</v>
      </c>
      <c r="AF22" s="45">
        <v>28</v>
      </c>
      <c r="AG22" s="49">
        <v>28</v>
      </c>
      <c r="AH22" s="47">
        <f t="shared" si="2"/>
        <v>28</v>
      </c>
      <c r="AI22" s="48">
        <f t="shared" si="3"/>
        <v>28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5</v>
      </c>
      <c r="J23" s="45">
        <v>5</v>
      </c>
      <c r="K23" s="45">
        <v>5</v>
      </c>
      <c r="L23" s="45">
        <v>10</v>
      </c>
      <c r="M23" s="45">
        <v>10</v>
      </c>
      <c r="N23" s="45">
        <v>27</v>
      </c>
      <c r="O23" s="45">
        <v>27</v>
      </c>
      <c r="P23" s="45">
        <v>27</v>
      </c>
      <c r="Q23" s="45">
        <v>15</v>
      </c>
      <c r="R23" s="45">
        <v>15</v>
      </c>
      <c r="S23" s="45">
        <v>15</v>
      </c>
      <c r="T23" s="45">
        <v>9</v>
      </c>
      <c r="U23" s="45">
        <v>14.9</v>
      </c>
      <c r="V23" s="45">
        <v>14.9</v>
      </c>
      <c r="W23" s="45">
        <v>27</v>
      </c>
      <c r="X23" s="45">
        <v>27</v>
      </c>
      <c r="Y23" s="45">
        <v>27</v>
      </c>
      <c r="Z23" s="45">
        <v>27</v>
      </c>
      <c r="AA23" s="45"/>
      <c r="AB23" s="45"/>
      <c r="AC23" s="45">
        <v>4</v>
      </c>
      <c r="AD23" s="45">
        <v>4</v>
      </c>
      <c r="AE23" s="45">
        <v>4</v>
      </c>
      <c r="AF23" s="45">
        <v>4</v>
      </c>
      <c r="AG23" s="51">
        <v>30</v>
      </c>
      <c r="AH23" s="47">
        <f t="shared" si="2"/>
        <v>27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>
        <v>20</v>
      </c>
      <c r="C24" s="45">
        <v>24.9</v>
      </c>
      <c r="D24" s="45">
        <v>24.9</v>
      </c>
      <c r="E24" s="45">
        <v>24.9</v>
      </c>
      <c r="F24" s="45">
        <v>24.9</v>
      </c>
      <c r="G24" s="45">
        <v>24.9</v>
      </c>
      <c r="H24" s="45">
        <v>24.9</v>
      </c>
      <c r="I24" s="45">
        <v>24.9</v>
      </c>
      <c r="J24" s="45">
        <v>24.9</v>
      </c>
      <c r="K24" s="45">
        <v>24.9</v>
      </c>
      <c r="L24" s="45">
        <v>24.9</v>
      </c>
      <c r="M24" s="45">
        <v>24.9</v>
      </c>
      <c r="N24" s="45">
        <v>24.9</v>
      </c>
      <c r="O24" s="45">
        <v>24.9</v>
      </c>
      <c r="P24" s="45">
        <v>24.9</v>
      </c>
      <c r="Q24" s="45">
        <v>24.9</v>
      </c>
      <c r="R24" s="45">
        <v>24.9</v>
      </c>
      <c r="S24" s="45">
        <v>24.9</v>
      </c>
      <c r="T24" s="45">
        <v>24.9</v>
      </c>
      <c r="U24" s="45">
        <v>25.1</v>
      </c>
      <c r="V24" s="45">
        <v>25.1</v>
      </c>
      <c r="W24" s="45">
        <v>25.1</v>
      </c>
      <c r="X24" s="45">
        <v>25.1</v>
      </c>
      <c r="Y24" s="45">
        <v>25.1</v>
      </c>
      <c r="Z24" s="45">
        <v>25.1</v>
      </c>
      <c r="AA24" s="45"/>
      <c r="AB24" s="45"/>
      <c r="AC24" s="45">
        <v>12.7</v>
      </c>
      <c r="AD24" s="45">
        <v>12.7</v>
      </c>
      <c r="AE24" s="45">
        <v>12.7</v>
      </c>
      <c r="AF24" s="45">
        <v>20</v>
      </c>
      <c r="AG24" s="49">
        <v>25</v>
      </c>
      <c r="AH24" s="47">
        <f t="shared" si="2"/>
        <v>25.1</v>
      </c>
      <c r="AI24" s="48">
        <f t="shared" si="3"/>
        <v>12.7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  <c r="Z25" s="45">
        <v>0</v>
      </c>
      <c r="AA25" s="45"/>
      <c r="AB25" s="45"/>
      <c r="AC25" s="45">
        <v>0</v>
      </c>
      <c r="AD25" s="45">
        <v>0</v>
      </c>
      <c r="AE25" s="45">
        <v>0</v>
      </c>
      <c r="AF25" s="45">
        <v>0</v>
      </c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>
        <v>25</v>
      </c>
      <c r="C26" s="45">
        <v>25</v>
      </c>
      <c r="D26" s="45">
        <v>25</v>
      </c>
      <c r="E26" s="45">
        <v>25</v>
      </c>
      <c r="F26" s="45">
        <v>25</v>
      </c>
      <c r="G26" s="45">
        <v>25</v>
      </c>
      <c r="H26" s="45">
        <v>25</v>
      </c>
      <c r="I26" s="45">
        <v>25</v>
      </c>
      <c r="J26" s="45">
        <v>25</v>
      </c>
      <c r="K26" s="45">
        <v>25</v>
      </c>
      <c r="L26" s="45">
        <v>25</v>
      </c>
      <c r="M26" s="45">
        <v>25</v>
      </c>
      <c r="N26" s="45">
        <v>25</v>
      </c>
      <c r="O26" s="45">
        <v>25</v>
      </c>
      <c r="P26" s="45">
        <v>25</v>
      </c>
      <c r="Q26" s="45">
        <v>25</v>
      </c>
      <c r="R26" s="45">
        <v>25</v>
      </c>
      <c r="S26" s="45">
        <v>25</v>
      </c>
      <c r="T26" s="45">
        <v>25</v>
      </c>
      <c r="U26" s="45">
        <v>25</v>
      </c>
      <c r="V26" s="45">
        <v>25</v>
      </c>
      <c r="W26" s="45">
        <v>25</v>
      </c>
      <c r="X26" s="45">
        <v>25</v>
      </c>
      <c r="Y26" s="45">
        <v>25</v>
      </c>
      <c r="Z26" s="45">
        <v>25</v>
      </c>
      <c r="AA26" s="45"/>
      <c r="AB26" s="45"/>
      <c r="AC26" s="45">
        <v>25</v>
      </c>
      <c r="AD26" s="45">
        <v>25</v>
      </c>
      <c r="AE26" s="45">
        <v>25</v>
      </c>
      <c r="AF26" s="45">
        <v>25</v>
      </c>
      <c r="AG26" s="49">
        <v>25</v>
      </c>
      <c r="AH26" s="47">
        <f t="shared" si="2"/>
        <v>25</v>
      </c>
      <c r="AI26" s="48">
        <f t="shared" si="3"/>
        <v>25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5</v>
      </c>
      <c r="J27" s="45">
        <v>5</v>
      </c>
      <c r="K27" s="45">
        <v>5</v>
      </c>
      <c r="L27" s="45">
        <v>9</v>
      </c>
      <c r="M27" s="45">
        <v>12</v>
      </c>
      <c r="N27" s="45">
        <v>25</v>
      </c>
      <c r="O27" s="45">
        <v>25</v>
      </c>
      <c r="P27" s="45">
        <v>25</v>
      </c>
      <c r="Q27" s="45">
        <v>12.5</v>
      </c>
      <c r="R27" s="45">
        <v>12.5</v>
      </c>
      <c r="S27" s="45">
        <v>12.5</v>
      </c>
      <c r="T27" s="45">
        <v>8.5</v>
      </c>
      <c r="U27" s="45">
        <v>8.5</v>
      </c>
      <c r="V27" s="45">
        <v>8.5</v>
      </c>
      <c r="W27" s="45">
        <v>25</v>
      </c>
      <c r="X27" s="45">
        <v>25</v>
      </c>
      <c r="Y27" s="45">
        <v>25</v>
      </c>
      <c r="Z27" s="45">
        <v>25</v>
      </c>
      <c r="AA27" s="45"/>
      <c r="AB27" s="45"/>
      <c r="AC27" s="45">
        <v>4</v>
      </c>
      <c r="AD27" s="45">
        <v>4</v>
      </c>
      <c r="AE27" s="45">
        <v>4</v>
      </c>
      <c r="AF27" s="45">
        <v>4</v>
      </c>
      <c r="AG27" s="49">
        <v>25</v>
      </c>
      <c r="AH27" s="47">
        <f t="shared" si="2"/>
        <v>25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>
        <v>25.4</v>
      </c>
      <c r="C28" s="45">
        <v>25.4</v>
      </c>
      <c r="D28" s="45">
        <v>25.4</v>
      </c>
      <c r="E28" s="45">
        <v>25.4</v>
      </c>
      <c r="F28" s="45">
        <v>25.4</v>
      </c>
      <c r="G28" s="45">
        <v>25.4</v>
      </c>
      <c r="H28" s="45">
        <v>25.4</v>
      </c>
      <c r="I28" s="45">
        <v>25.4</v>
      </c>
      <c r="J28" s="45">
        <v>25.4</v>
      </c>
      <c r="K28" s="45">
        <v>25.4</v>
      </c>
      <c r="L28" s="45">
        <v>25.4</v>
      </c>
      <c r="M28" s="45">
        <v>25.4</v>
      </c>
      <c r="N28" s="45">
        <v>25.4</v>
      </c>
      <c r="O28" s="45">
        <v>25.4</v>
      </c>
      <c r="P28" s="45">
        <v>25.4</v>
      </c>
      <c r="Q28" s="45">
        <v>25.4</v>
      </c>
      <c r="R28" s="45">
        <v>25.4</v>
      </c>
      <c r="S28" s="45">
        <v>25.4</v>
      </c>
      <c r="T28" s="45">
        <v>25.4</v>
      </c>
      <c r="U28" s="45">
        <v>25.4</v>
      </c>
      <c r="V28" s="45">
        <v>25.4</v>
      </c>
      <c r="W28" s="45">
        <v>25.4</v>
      </c>
      <c r="X28" s="45">
        <v>25.4</v>
      </c>
      <c r="Y28" s="45">
        <v>25.4</v>
      </c>
      <c r="Z28" s="45">
        <v>25.4</v>
      </c>
      <c r="AA28" s="45"/>
      <c r="AB28" s="45"/>
      <c r="AC28" s="45">
        <v>25.4</v>
      </c>
      <c r="AD28" s="45">
        <v>25.4</v>
      </c>
      <c r="AE28" s="45">
        <v>25.4</v>
      </c>
      <c r="AF28" s="45">
        <v>25.4</v>
      </c>
      <c r="AG28" s="49">
        <v>23.5</v>
      </c>
      <c r="AH28" s="47">
        <f t="shared" si="2"/>
        <v>25.4</v>
      </c>
      <c r="AI28" s="48">
        <f t="shared" si="3"/>
        <v>25.4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>
        <v>11</v>
      </c>
      <c r="C29" s="45">
        <v>11</v>
      </c>
      <c r="D29" s="45">
        <v>11</v>
      </c>
      <c r="E29" s="45">
        <v>11</v>
      </c>
      <c r="F29" s="45">
        <v>11</v>
      </c>
      <c r="G29" s="45">
        <v>11</v>
      </c>
      <c r="H29" s="45">
        <v>11</v>
      </c>
      <c r="I29" s="45">
        <v>11</v>
      </c>
      <c r="J29" s="45">
        <v>11</v>
      </c>
      <c r="K29" s="45">
        <v>11</v>
      </c>
      <c r="L29" s="45">
        <v>11</v>
      </c>
      <c r="M29" s="45">
        <v>11</v>
      </c>
      <c r="N29" s="45">
        <v>11</v>
      </c>
      <c r="O29" s="45">
        <v>11</v>
      </c>
      <c r="P29" s="45">
        <v>11</v>
      </c>
      <c r="Q29" s="45">
        <v>11</v>
      </c>
      <c r="R29" s="45">
        <v>11</v>
      </c>
      <c r="S29" s="45">
        <v>11</v>
      </c>
      <c r="T29" s="45">
        <v>11</v>
      </c>
      <c r="U29" s="45">
        <v>11</v>
      </c>
      <c r="V29" s="45">
        <v>11</v>
      </c>
      <c r="W29" s="45">
        <v>11</v>
      </c>
      <c r="X29" s="45">
        <v>11</v>
      </c>
      <c r="Y29" s="45">
        <v>11</v>
      </c>
      <c r="Z29" s="45">
        <v>11</v>
      </c>
      <c r="AA29" s="45"/>
      <c r="AB29" s="45"/>
      <c r="AC29" s="45">
        <v>11</v>
      </c>
      <c r="AD29" s="45">
        <v>11</v>
      </c>
      <c r="AE29" s="45">
        <v>11</v>
      </c>
      <c r="AF29" s="45">
        <v>11</v>
      </c>
      <c r="AG29" s="49">
        <v>22.2</v>
      </c>
      <c r="AH29" s="47">
        <f t="shared" si="2"/>
        <v>11</v>
      </c>
      <c r="AI29" s="48">
        <f t="shared" si="3"/>
        <v>11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>
        <v>22</v>
      </c>
      <c r="C30" s="45">
        <v>22</v>
      </c>
      <c r="D30" s="45">
        <v>22</v>
      </c>
      <c r="E30" s="45">
        <v>22</v>
      </c>
      <c r="F30" s="45">
        <v>22</v>
      </c>
      <c r="G30" s="45">
        <v>22</v>
      </c>
      <c r="H30" s="45">
        <v>22</v>
      </c>
      <c r="I30" s="45">
        <v>22</v>
      </c>
      <c r="J30" s="45">
        <v>22</v>
      </c>
      <c r="K30" s="45">
        <v>22</v>
      </c>
      <c r="L30" s="45">
        <v>22</v>
      </c>
      <c r="M30" s="45">
        <v>22</v>
      </c>
      <c r="N30" s="45">
        <v>22</v>
      </c>
      <c r="O30" s="45">
        <v>22</v>
      </c>
      <c r="P30" s="45">
        <v>22</v>
      </c>
      <c r="Q30" s="45">
        <v>22</v>
      </c>
      <c r="R30" s="45">
        <v>22</v>
      </c>
      <c r="S30" s="45">
        <v>22</v>
      </c>
      <c r="T30" s="45">
        <v>22</v>
      </c>
      <c r="U30" s="45">
        <v>22</v>
      </c>
      <c r="V30" s="45">
        <v>22</v>
      </c>
      <c r="W30" s="45">
        <v>22</v>
      </c>
      <c r="X30" s="45">
        <v>22</v>
      </c>
      <c r="Y30" s="45">
        <v>22</v>
      </c>
      <c r="Z30" s="45">
        <v>22</v>
      </c>
      <c r="AA30" s="45"/>
      <c r="AB30" s="45"/>
      <c r="AC30" s="45">
        <v>22</v>
      </c>
      <c r="AD30" s="45">
        <v>22</v>
      </c>
      <c r="AE30" s="45">
        <v>22</v>
      </c>
      <c r="AF30" s="45">
        <v>22</v>
      </c>
      <c r="AG30" s="49">
        <v>22.1</v>
      </c>
      <c r="AH30" s="47">
        <f t="shared" si="2"/>
        <v>22</v>
      </c>
      <c r="AI30" s="48">
        <f t="shared" si="3"/>
        <v>22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>
        <v>22</v>
      </c>
      <c r="C31" s="45">
        <v>22</v>
      </c>
      <c r="D31" s="45">
        <v>22</v>
      </c>
      <c r="E31" s="45">
        <v>22</v>
      </c>
      <c r="F31" s="45">
        <v>22</v>
      </c>
      <c r="G31" s="45">
        <v>22</v>
      </c>
      <c r="H31" s="45">
        <v>22</v>
      </c>
      <c r="I31" s="45">
        <v>22</v>
      </c>
      <c r="J31" s="45">
        <v>22</v>
      </c>
      <c r="K31" s="45">
        <v>22</v>
      </c>
      <c r="L31" s="45">
        <v>22</v>
      </c>
      <c r="M31" s="45">
        <v>22</v>
      </c>
      <c r="N31" s="45">
        <v>22</v>
      </c>
      <c r="O31" s="45">
        <v>22</v>
      </c>
      <c r="P31" s="45">
        <v>22</v>
      </c>
      <c r="Q31" s="45">
        <v>22</v>
      </c>
      <c r="R31" s="45">
        <v>22</v>
      </c>
      <c r="S31" s="45">
        <v>22</v>
      </c>
      <c r="T31" s="45">
        <v>22</v>
      </c>
      <c r="U31" s="45">
        <v>22</v>
      </c>
      <c r="V31" s="45">
        <v>22</v>
      </c>
      <c r="W31" s="45">
        <v>22</v>
      </c>
      <c r="X31" s="45">
        <v>22</v>
      </c>
      <c r="Y31" s="45">
        <v>22</v>
      </c>
      <c r="Z31" s="45">
        <v>22</v>
      </c>
      <c r="AA31" s="45"/>
      <c r="AB31" s="45"/>
      <c r="AC31" s="45">
        <v>22</v>
      </c>
      <c r="AD31" s="45">
        <v>22</v>
      </c>
      <c r="AE31" s="45">
        <v>22</v>
      </c>
      <c r="AF31" s="45">
        <v>22</v>
      </c>
      <c r="AG31" s="49">
        <v>22</v>
      </c>
      <c r="AH31" s="47">
        <f t="shared" si="2"/>
        <v>22</v>
      </c>
      <c r="AI31" s="48">
        <f t="shared" si="3"/>
        <v>22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>
        <v>22</v>
      </c>
      <c r="C32" s="45">
        <v>22</v>
      </c>
      <c r="D32" s="45">
        <v>22</v>
      </c>
      <c r="E32" s="45">
        <v>22</v>
      </c>
      <c r="F32" s="45">
        <v>22</v>
      </c>
      <c r="G32" s="45">
        <v>22</v>
      </c>
      <c r="H32" s="45">
        <v>22</v>
      </c>
      <c r="I32" s="45">
        <v>22</v>
      </c>
      <c r="J32" s="45">
        <v>22</v>
      </c>
      <c r="K32" s="45">
        <v>22</v>
      </c>
      <c r="L32" s="45">
        <v>22</v>
      </c>
      <c r="M32" s="45">
        <v>22</v>
      </c>
      <c r="N32" s="45">
        <v>22</v>
      </c>
      <c r="O32" s="45">
        <v>22</v>
      </c>
      <c r="P32" s="45">
        <v>22</v>
      </c>
      <c r="Q32" s="45">
        <v>22</v>
      </c>
      <c r="R32" s="45">
        <v>22</v>
      </c>
      <c r="S32" s="45">
        <v>22</v>
      </c>
      <c r="T32" s="45">
        <v>22</v>
      </c>
      <c r="U32" s="45">
        <v>22</v>
      </c>
      <c r="V32" s="45">
        <v>22</v>
      </c>
      <c r="W32" s="45">
        <v>22</v>
      </c>
      <c r="X32" s="45">
        <v>22</v>
      </c>
      <c r="Y32" s="45">
        <v>22</v>
      </c>
      <c r="Z32" s="45">
        <v>22</v>
      </c>
      <c r="AA32" s="45"/>
      <c r="AB32" s="45"/>
      <c r="AC32" s="45">
        <v>22</v>
      </c>
      <c r="AD32" s="45">
        <v>22</v>
      </c>
      <c r="AE32" s="45">
        <v>22</v>
      </c>
      <c r="AF32" s="45">
        <v>22</v>
      </c>
      <c r="AG32" s="49">
        <v>22</v>
      </c>
      <c r="AH32" s="47">
        <f t="shared" si="2"/>
        <v>22</v>
      </c>
      <c r="AI32" s="48">
        <f t="shared" si="3"/>
        <v>22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5</v>
      </c>
      <c r="J33" s="45">
        <v>5</v>
      </c>
      <c r="K33" s="45">
        <v>5</v>
      </c>
      <c r="L33" s="45">
        <v>5</v>
      </c>
      <c r="M33" s="45">
        <v>10</v>
      </c>
      <c r="N33" s="45">
        <v>10</v>
      </c>
      <c r="O33" s="45">
        <v>10</v>
      </c>
      <c r="P33" s="45">
        <v>10</v>
      </c>
      <c r="Q33" s="45">
        <v>10</v>
      </c>
      <c r="R33" s="45">
        <v>10</v>
      </c>
      <c r="S33" s="45">
        <v>10</v>
      </c>
      <c r="T33" s="45">
        <v>5</v>
      </c>
      <c r="U33" s="45">
        <v>10</v>
      </c>
      <c r="V33" s="45">
        <v>10</v>
      </c>
      <c r="W33" s="45">
        <v>15</v>
      </c>
      <c r="X33" s="45">
        <v>20</v>
      </c>
      <c r="Y33" s="45">
        <v>20</v>
      </c>
      <c r="Z33" s="45">
        <v>20</v>
      </c>
      <c r="AA33" s="45"/>
      <c r="AB33" s="45"/>
      <c r="AC33" s="45">
        <v>5</v>
      </c>
      <c r="AD33" s="45">
        <v>5</v>
      </c>
      <c r="AE33" s="45">
        <v>5</v>
      </c>
      <c r="AF33" s="45">
        <v>5</v>
      </c>
      <c r="AG33" s="49">
        <v>20</v>
      </c>
      <c r="AH33" s="47">
        <f t="shared" si="2"/>
        <v>20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5</v>
      </c>
      <c r="J34" s="45">
        <v>5</v>
      </c>
      <c r="K34" s="45">
        <v>5</v>
      </c>
      <c r="L34" s="45">
        <v>5</v>
      </c>
      <c r="M34" s="45">
        <v>5</v>
      </c>
      <c r="N34" s="45">
        <v>5</v>
      </c>
      <c r="O34" s="45">
        <v>5</v>
      </c>
      <c r="P34" s="45">
        <v>5</v>
      </c>
      <c r="Q34" s="45">
        <v>7</v>
      </c>
      <c r="R34" s="45">
        <v>7</v>
      </c>
      <c r="S34" s="45">
        <v>7</v>
      </c>
      <c r="T34" s="45">
        <v>4</v>
      </c>
      <c r="U34" s="45">
        <v>9</v>
      </c>
      <c r="V34" s="45">
        <v>9</v>
      </c>
      <c r="W34" s="45">
        <v>9</v>
      </c>
      <c r="X34" s="45">
        <v>15</v>
      </c>
      <c r="Y34" s="45">
        <v>15</v>
      </c>
      <c r="Z34" s="45">
        <v>15</v>
      </c>
      <c r="AA34" s="45"/>
      <c r="AB34" s="45"/>
      <c r="AC34" s="45">
        <v>3.5</v>
      </c>
      <c r="AD34" s="45">
        <v>4</v>
      </c>
      <c r="AE34" s="45">
        <v>4</v>
      </c>
      <c r="AF34" s="45">
        <v>4</v>
      </c>
      <c r="AG34" s="49">
        <v>18</v>
      </c>
      <c r="AH34" s="47">
        <f t="shared" si="2"/>
        <v>15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15</v>
      </c>
      <c r="N35" s="45">
        <v>15</v>
      </c>
      <c r="O35" s="45">
        <v>15</v>
      </c>
      <c r="P35" s="45">
        <v>15</v>
      </c>
      <c r="Q35" s="45">
        <v>15</v>
      </c>
      <c r="R35" s="45">
        <v>15</v>
      </c>
      <c r="S35" s="45">
        <v>15</v>
      </c>
      <c r="T35" s="45">
        <v>15</v>
      </c>
      <c r="U35" s="45">
        <v>15</v>
      </c>
      <c r="V35" s="45">
        <v>15</v>
      </c>
      <c r="W35" s="45">
        <v>15</v>
      </c>
      <c r="X35" s="45">
        <v>15</v>
      </c>
      <c r="Y35" s="45">
        <v>15</v>
      </c>
      <c r="Z35" s="45">
        <v>15</v>
      </c>
      <c r="AA35" s="45"/>
      <c r="AB35" s="45"/>
      <c r="AC35" s="45">
        <v>15</v>
      </c>
      <c r="AD35" s="45">
        <v>15</v>
      </c>
      <c r="AE35" s="45">
        <v>15</v>
      </c>
      <c r="AF35" s="45">
        <v>15</v>
      </c>
      <c r="AG35" s="49">
        <v>14.9</v>
      </c>
      <c r="AH35" s="47">
        <f t="shared" si="2"/>
        <v>15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45">
        <v>0</v>
      </c>
      <c r="S36" s="45">
        <v>0</v>
      </c>
      <c r="T36" s="45">
        <v>0</v>
      </c>
      <c r="U36" s="45">
        <v>0</v>
      </c>
      <c r="V36" s="45">
        <v>0</v>
      </c>
      <c r="W36" s="45">
        <v>0</v>
      </c>
      <c r="X36" s="45">
        <v>0</v>
      </c>
      <c r="Y36" s="45">
        <v>0</v>
      </c>
      <c r="Z36" s="45">
        <v>0</v>
      </c>
      <c r="AA36" s="45"/>
      <c r="AB36" s="45"/>
      <c r="AC36" s="45">
        <v>0</v>
      </c>
      <c r="AD36" s="45">
        <v>0</v>
      </c>
      <c r="AE36" s="45">
        <v>0</v>
      </c>
      <c r="AF36" s="45">
        <v>0</v>
      </c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>
        <v>6.5</v>
      </c>
      <c r="C37" s="45">
        <v>6.5</v>
      </c>
      <c r="D37" s="45">
        <v>6.5</v>
      </c>
      <c r="E37" s="45">
        <v>6.5</v>
      </c>
      <c r="F37" s="45">
        <v>6.5</v>
      </c>
      <c r="G37" s="45">
        <v>6.5</v>
      </c>
      <c r="H37" s="45">
        <v>6.5</v>
      </c>
      <c r="I37" s="45">
        <v>6.5</v>
      </c>
      <c r="J37" s="45">
        <v>6.5</v>
      </c>
      <c r="K37" s="45">
        <v>6.5</v>
      </c>
      <c r="L37" s="45">
        <v>6.5</v>
      </c>
      <c r="M37" s="45">
        <v>6.5</v>
      </c>
      <c r="N37" s="45">
        <v>6.5</v>
      </c>
      <c r="O37" s="45">
        <v>6.5</v>
      </c>
      <c r="P37" s="45">
        <v>6.5</v>
      </c>
      <c r="Q37" s="45">
        <v>6.5</v>
      </c>
      <c r="R37" s="45">
        <v>6.5</v>
      </c>
      <c r="S37" s="45">
        <v>6.5</v>
      </c>
      <c r="T37" s="45">
        <v>6.5</v>
      </c>
      <c r="U37" s="45">
        <v>6.5</v>
      </c>
      <c r="V37" s="45">
        <v>6.5</v>
      </c>
      <c r="W37" s="45">
        <v>6.5</v>
      </c>
      <c r="X37" s="45">
        <v>6.5</v>
      </c>
      <c r="Y37" s="45">
        <v>6.5</v>
      </c>
      <c r="Z37" s="45">
        <v>6.5</v>
      </c>
      <c r="AA37" s="45"/>
      <c r="AB37" s="45"/>
      <c r="AC37" s="45">
        <v>6.5</v>
      </c>
      <c r="AD37" s="45">
        <v>6.5</v>
      </c>
      <c r="AE37" s="45">
        <v>6.5</v>
      </c>
      <c r="AF37" s="45">
        <v>6.5</v>
      </c>
      <c r="AG37" s="49">
        <v>13.6</v>
      </c>
      <c r="AH37" s="47">
        <f t="shared" si="2"/>
        <v>6.5</v>
      </c>
      <c r="AI37" s="48">
        <f t="shared" si="3"/>
        <v>6.5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>
        <v>12</v>
      </c>
      <c r="C38" s="45">
        <v>12</v>
      </c>
      <c r="D38" s="45">
        <v>12</v>
      </c>
      <c r="E38" s="45">
        <v>12</v>
      </c>
      <c r="F38" s="45">
        <v>12</v>
      </c>
      <c r="G38" s="45">
        <v>12</v>
      </c>
      <c r="H38" s="45">
        <v>12</v>
      </c>
      <c r="I38" s="45">
        <v>12</v>
      </c>
      <c r="J38" s="45">
        <v>12</v>
      </c>
      <c r="K38" s="45">
        <v>12</v>
      </c>
      <c r="L38" s="45">
        <v>12</v>
      </c>
      <c r="M38" s="45">
        <v>12</v>
      </c>
      <c r="N38" s="45">
        <v>12</v>
      </c>
      <c r="O38" s="45">
        <v>12</v>
      </c>
      <c r="P38" s="45">
        <v>12</v>
      </c>
      <c r="Q38" s="45">
        <v>12</v>
      </c>
      <c r="R38" s="45">
        <v>12</v>
      </c>
      <c r="S38" s="45">
        <v>12</v>
      </c>
      <c r="T38" s="45">
        <v>12</v>
      </c>
      <c r="U38" s="45">
        <v>12</v>
      </c>
      <c r="V38" s="45">
        <v>12</v>
      </c>
      <c r="W38" s="45">
        <v>12</v>
      </c>
      <c r="X38" s="45">
        <v>12</v>
      </c>
      <c r="Y38" s="45">
        <v>12</v>
      </c>
      <c r="Z38" s="45">
        <v>12</v>
      </c>
      <c r="AA38" s="45"/>
      <c r="AB38" s="45"/>
      <c r="AC38" s="45">
        <v>12</v>
      </c>
      <c r="AD38" s="45">
        <v>12</v>
      </c>
      <c r="AE38" s="45">
        <v>12</v>
      </c>
      <c r="AF38" s="45">
        <v>12</v>
      </c>
      <c r="AG38" s="49">
        <v>13</v>
      </c>
      <c r="AH38" s="47">
        <f t="shared" si="2"/>
        <v>12</v>
      </c>
      <c r="AI38" s="48">
        <f t="shared" si="3"/>
        <v>12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3</v>
      </c>
      <c r="J39" s="45">
        <v>3</v>
      </c>
      <c r="K39" s="45">
        <v>3</v>
      </c>
      <c r="L39" s="45">
        <v>3</v>
      </c>
      <c r="M39" s="45">
        <v>6</v>
      </c>
      <c r="N39" s="45">
        <v>12</v>
      </c>
      <c r="O39" s="45">
        <v>12</v>
      </c>
      <c r="P39" s="45">
        <v>12</v>
      </c>
      <c r="Q39" s="45">
        <v>12</v>
      </c>
      <c r="R39" s="45">
        <v>0</v>
      </c>
      <c r="S39" s="45">
        <v>6</v>
      </c>
      <c r="T39" s="45">
        <v>4</v>
      </c>
      <c r="U39" s="45">
        <v>6</v>
      </c>
      <c r="V39" s="45">
        <v>6</v>
      </c>
      <c r="W39" s="45">
        <v>10</v>
      </c>
      <c r="X39" s="45">
        <v>10</v>
      </c>
      <c r="Y39" s="45">
        <v>10</v>
      </c>
      <c r="Z39" s="45">
        <v>10</v>
      </c>
      <c r="AA39" s="45"/>
      <c r="AB39" s="45"/>
      <c r="AC39" s="45">
        <v>2</v>
      </c>
      <c r="AD39" s="45">
        <v>2</v>
      </c>
      <c r="AE39" s="45">
        <v>2</v>
      </c>
      <c r="AF39" s="45">
        <v>2</v>
      </c>
      <c r="AG39" s="49">
        <v>12</v>
      </c>
      <c r="AH39" s="47">
        <f t="shared" si="2"/>
        <v>12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>
        <v>7</v>
      </c>
      <c r="C40" s="45">
        <v>10.6</v>
      </c>
      <c r="D40" s="45">
        <v>10.6</v>
      </c>
      <c r="E40" s="45">
        <v>10.6</v>
      </c>
      <c r="F40" s="45">
        <v>10.6</v>
      </c>
      <c r="G40" s="45">
        <v>10.6</v>
      </c>
      <c r="H40" s="45">
        <v>10.6</v>
      </c>
      <c r="I40" s="45">
        <v>10.6</v>
      </c>
      <c r="J40" s="45">
        <v>10.6</v>
      </c>
      <c r="K40" s="45">
        <v>10.6</v>
      </c>
      <c r="L40" s="45">
        <v>10.6</v>
      </c>
      <c r="M40" s="45">
        <v>10.6</v>
      </c>
      <c r="N40" s="45">
        <v>10.6</v>
      </c>
      <c r="O40" s="45">
        <v>10.6</v>
      </c>
      <c r="P40" s="45">
        <v>10.6</v>
      </c>
      <c r="Q40" s="45">
        <v>10.6</v>
      </c>
      <c r="R40" s="45">
        <v>10.6</v>
      </c>
      <c r="S40" s="45">
        <v>10.6</v>
      </c>
      <c r="T40" s="45">
        <v>10.6</v>
      </c>
      <c r="U40" s="45">
        <v>10.6</v>
      </c>
      <c r="V40" s="45">
        <v>10.6</v>
      </c>
      <c r="W40" s="45">
        <v>10.6</v>
      </c>
      <c r="X40" s="45">
        <v>10.6</v>
      </c>
      <c r="Y40" s="45">
        <v>10.6</v>
      </c>
      <c r="Z40" s="45">
        <v>10.6</v>
      </c>
      <c r="AA40" s="45"/>
      <c r="AB40" s="45"/>
      <c r="AC40" s="45">
        <v>10.6</v>
      </c>
      <c r="AD40" s="45">
        <v>10.6</v>
      </c>
      <c r="AE40" s="45">
        <v>10.6</v>
      </c>
      <c r="AF40" s="45">
        <v>10.6</v>
      </c>
      <c r="AG40" s="49">
        <v>12</v>
      </c>
      <c r="AH40" s="47">
        <f t="shared" si="2"/>
        <v>10.6</v>
      </c>
      <c r="AI40" s="48">
        <f t="shared" si="3"/>
        <v>7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/>
      <c r="AB41" s="45"/>
      <c r="AC41" s="45">
        <v>0</v>
      </c>
      <c r="AD41" s="45">
        <v>0</v>
      </c>
      <c r="AE41" s="45">
        <v>0</v>
      </c>
      <c r="AF41" s="45">
        <v>0</v>
      </c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>
        <v>11</v>
      </c>
      <c r="C42" s="45">
        <v>11</v>
      </c>
      <c r="D42" s="45">
        <v>11</v>
      </c>
      <c r="E42" s="45">
        <v>11</v>
      </c>
      <c r="F42" s="45">
        <v>11</v>
      </c>
      <c r="G42" s="45">
        <v>11</v>
      </c>
      <c r="H42" s="45">
        <v>11</v>
      </c>
      <c r="I42" s="45">
        <v>11</v>
      </c>
      <c r="J42" s="45">
        <v>11</v>
      </c>
      <c r="K42" s="45">
        <v>11</v>
      </c>
      <c r="L42" s="45">
        <v>11</v>
      </c>
      <c r="M42" s="45">
        <v>11</v>
      </c>
      <c r="N42" s="45">
        <v>11</v>
      </c>
      <c r="O42" s="45">
        <v>11</v>
      </c>
      <c r="P42" s="45">
        <v>11</v>
      </c>
      <c r="Q42" s="45">
        <v>11</v>
      </c>
      <c r="R42" s="45">
        <v>11</v>
      </c>
      <c r="S42" s="45">
        <v>11</v>
      </c>
      <c r="T42" s="45">
        <v>11</v>
      </c>
      <c r="U42" s="45">
        <v>11</v>
      </c>
      <c r="V42" s="45">
        <v>11</v>
      </c>
      <c r="W42" s="45">
        <v>11</v>
      </c>
      <c r="X42" s="45">
        <v>11</v>
      </c>
      <c r="Y42" s="45">
        <v>11</v>
      </c>
      <c r="Z42" s="45">
        <v>11</v>
      </c>
      <c r="AA42" s="45"/>
      <c r="AB42" s="45"/>
      <c r="AC42" s="45">
        <v>11</v>
      </c>
      <c r="AD42" s="45">
        <v>11</v>
      </c>
      <c r="AE42" s="45">
        <v>11</v>
      </c>
      <c r="AF42" s="45">
        <v>11</v>
      </c>
      <c r="AG42" s="52">
        <v>22</v>
      </c>
      <c r="AH42" s="47">
        <f t="shared" si="2"/>
        <v>11</v>
      </c>
      <c r="AI42" s="48">
        <f t="shared" si="3"/>
        <v>11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>
        <v>6</v>
      </c>
      <c r="C43" s="45">
        <v>6</v>
      </c>
      <c r="D43" s="45">
        <v>6</v>
      </c>
      <c r="E43" s="45">
        <v>6</v>
      </c>
      <c r="F43" s="45">
        <v>6</v>
      </c>
      <c r="G43" s="45">
        <v>6</v>
      </c>
      <c r="H43" s="45">
        <v>6</v>
      </c>
      <c r="I43" s="45">
        <v>6</v>
      </c>
      <c r="J43" s="45">
        <v>6</v>
      </c>
      <c r="K43" s="45">
        <v>6</v>
      </c>
      <c r="L43" s="45">
        <v>6</v>
      </c>
      <c r="M43" s="45">
        <v>11</v>
      </c>
      <c r="N43" s="45">
        <v>11</v>
      </c>
      <c r="O43" s="45">
        <v>11</v>
      </c>
      <c r="P43" s="45">
        <v>11</v>
      </c>
      <c r="Q43" s="45">
        <v>11</v>
      </c>
      <c r="R43" s="45">
        <v>11</v>
      </c>
      <c r="S43" s="45">
        <v>11</v>
      </c>
      <c r="T43" s="45">
        <v>11</v>
      </c>
      <c r="U43" s="45">
        <v>11</v>
      </c>
      <c r="V43" s="45">
        <v>11</v>
      </c>
      <c r="W43" s="45">
        <v>11</v>
      </c>
      <c r="X43" s="45">
        <v>11</v>
      </c>
      <c r="Y43" s="45">
        <v>11</v>
      </c>
      <c r="Z43" s="45">
        <v>11</v>
      </c>
      <c r="AA43" s="45"/>
      <c r="AB43" s="45"/>
      <c r="AC43" s="45">
        <v>11</v>
      </c>
      <c r="AD43" s="45">
        <v>11</v>
      </c>
      <c r="AE43" s="45">
        <v>11</v>
      </c>
      <c r="AF43" s="45">
        <v>11</v>
      </c>
      <c r="AG43" s="51">
        <v>11.88</v>
      </c>
      <c r="AH43" s="47">
        <f t="shared" si="2"/>
        <v>11</v>
      </c>
      <c r="AI43" s="48">
        <f t="shared" si="3"/>
        <v>6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11</v>
      </c>
      <c r="N44" s="45">
        <v>11</v>
      </c>
      <c r="O44" s="45">
        <v>11</v>
      </c>
      <c r="P44" s="45">
        <v>11</v>
      </c>
      <c r="Q44" s="45">
        <v>11</v>
      </c>
      <c r="R44" s="45">
        <v>11</v>
      </c>
      <c r="S44" s="45">
        <v>11</v>
      </c>
      <c r="T44" s="45">
        <v>11</v>
      </c>
      <c r="U44" s="45">
        <v>11</v>
      </c>
      <c r="V44" s="45">
        <v>11</v>
      </c>
      <c r="W44" s="45">
        <v>11</v>
      </c>
      <c r="X44" s="45">
        <v>11</v>
      </c>
      <c r="Y44" s="45">
        <v>11</v>
      </c>
      <c r="Z44" s="45">
        <v>11</v>
      </c>
      <c r="AA44" s="45"/>
      <c r="AB44" s="45"/>
      <c r="AC44" s="45">
        <v>11</v>
      </c>
      <c r="AD44" s="45">
        <v>11</v>
      </c>
      <c r="AE44" s="45">
        <v>11</v>
      </c>
      <c r="AF44" s="45">
        <v>11</v>
      </c>
      <c r="AG44" s="54">
        <v>11</v>
      </c>
      <c r="AH44" s="47">
        <f t="shared" si="2"/>
        <v>11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>
        <v>10</v>
      </c>
      <c r="C45" s="45">
        <v>10</v>
      </c>
      <c r="D45" s="45">
        <v>10</v>
      </c>
      <c r="E45" s="45">
        <v>10</v>
      </c>
      <c r="F45" s="45">
        <v>10</v>
      </c>
      <c r="G45" s="45">
        <v>10</v>
      </c>
      <c r="H45" s="45">
        <v>10</v>
      </c>
      <c r="I45" s="45">
        <v>10</v>
      </c>
      <c r="J45" s="45">
        <v>10</v>
      </c>
      <c r="K45" s="45">
        <v>10</v>
      </c>
      <c r="L45" s="45">
        <v>10</v>
      </c>
      <c r="M45" s="45">
        <v>10</v>
      </c>
      <c r="N45" s="45">
        <v>10</v>
      </c>
      <c r="O45" s="45">
        <v>10</v>
      </c>
      <c r="P45" s="45">
        <v>10</v>
      </c>
      <c r="Q45" s="45">
        <v>10</v>
      </c>
      <c r="R45" s="45">
        <v>10</v>
      </c>
      <c r="S45" s="45">
        <v>10</v>
      </c>
      <c r="T45" s="45">
        <v>10</v>
      </c>
      <c r="U45" s="45">
        <v>10</v>
      </c>
      <c r="V45" s="45">
        <v>10</v>
      </c>
      <c r="W45" s="45">
        <v>10</v>
      </c>
      <c r="X45" s="45">
        <v>10</v>
      </c>
      <c r="Y45" s="45">
        <v>10</v>
      </c>
      <c r="Z45" s="45">
        <v>10</v>
      </c>
      <c r="AA45" s="45"/>
      <c r="AB45" s="45"/>
      <c r="AC45" s="45">
        <v>10</v>
      </c>
      <c r="AD45" s="45">
        <v>10</v>
      </c>
      <c r="AE45" s="45">
        <v>10</v>
      </c>
      <c r="AF45" s="45">
        <v>10</v>
      </c>
      <c r="AG45" s="54">
        <v>10</v>
      </c>
      <c r="AH45" s="47">
        <f t="shared" si="2"/>
        <v>10</v>
      </c>
      <c r="AI45" s="48">
        <f t="shared" si="3"/>
        <v>10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>
        <v>10</v>
      </c>
      <c r="C46" s="45">
        <v>10</v>
      </c>
      <c r="D46" s="45">
        <v>10</v>
      </c>
      <c r="E46" s="45">
        <v>10</v>
      </c>
      <c r="F46" s="45">
        <v>10</v>
      </c>
      <c r="G46" s="45">
        <v>10</v>
      </c>
      <c r="H46" s="45">
        <v>10</v>
      </c>
      <c r="I46" s="45">
        <v>10</v>
      </c>
      <c r="J46" s="45">
        <v>10</v>
      </c>
      <c r="K46" s="45">
        <v>10</v>
      </c>
      <c r="L46" s="45">
        <v>10</v>
      </c>
      <c r="M46" s="45">
        <v>10</v>
      </c>
      <c r="N46" s="45">
        <v>10</v>
      </c>
      <c r="O46" s="45">
        <v>10</v>
      </c>
      <c r="P46" s="45">
        <v>10</v>
      </c>
      <c r="Q46" s="45">
        <v>10</v>
      </c>
      <c r="R46" s="45">
        <v>10</v>
      </c>
      <c r="S46" s="45">
        <v>10</v>
      </c>
      <c r="T46" s="45">
        <v>10</v>
      </c>
      <c r="U46" s="45">
        <v>10</v>
      </c>
      <c r="V46" s="45">
        <v>10</v>
      </c>
      <c r="W46" s="45">
        <v>10</v>
      </c>
      <c r="X46" s="45">
        <v>10</v>
      </c>
      <c r="Y46" s="45">
        <v>10</v>
      </c>
      <c r="Z46" s="45">
        <v>10</v>
      </c>
      <c r="AA46" s="45"/>
      <c r="AB46" s="45"/>
      <c r="AC46" s="45">
        <v>10</v>
      </c>
      <c r="AD46" s="45">
        <v>10</v>
      </c>
      <c r="AE46" s="45">
        <v>10</v>
      </c>
      <c r="AF46" s="45">
        <v>10</v>
      </c>
      <c r="AG46" s="54">
        <v>10</v>
      </c>
      <c r="AH46" s="47">
        <f t="shared" si="2"/>
        <v>10</v>
      </c>
      <c r="AI46" s="48">
        <f t="shared" si="3"/>
        <v>10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/>
      <c r="AB47" s="45"/>
      <c r="AC47" s="45">
        <v>0</v>
      </c>
      <c r="AD47" s="45">
        <v>0</v>
      </c>
      <c r="AE47" s="45">
        <v>0</v>
      </c>
      <c r="AF47" s="45">
        <v>0</v>
      </c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>
        <v>400</v>
      </c>
      <c r="C48" s="56">
        <v>400</v>
      </c>
      <c r="D48" s="56">
        <v>400</v>
      </c>
      <c r="E48" s="56">
        <v>400</v>
      </c>
      <c r="F48" s="56">
        <v>400</v>
      </c>
      <c r="G48" s="56">
        <v>400</v>
      </c>
      <c r="H48" s="56">
        <v>400</v>
      </c>
      <c r="I48" s="56">
        <v>400</v>
      </c>
      <c r="J48" s="56">
        <v>400</v>
      </c>
      <c r="K48" s="56">
        <v>400</v>
      </c>
      <c r="L48" s="56">
        <v>400</v>
      </c>
      <c r="M48" s="56">
        <v>400</v>
      </c>
      <c r="N48" s="56">
        <v>400</v>
      </c>
      <c r="O48" s="56">
        <v>400</v>
      </c>
      <c r="P48" s="56">
        <v>400</v>
      </c>
      <c r="Q48" s="56">
        <v>400</v>
      </c>
      <c r="R48" s="56">
        <v>400</v>
      </c>
      <c r="S48" s="56">
        <v>400</v>
      </c>
      <c r="T48" s="56">
        <v>400</v>
      </c>
      <c r="U48" s="56">
        <v>400</v>
      </c>
      <c r="V48" s="56">
        <v>400</v>
      </c>
      <c r="W48" s="56">
        <v>400</v>
      </c>
      <c r="X48" s="56">
        <v>400</v>
      </c>
      <c r="Y48" s="56">
        <v>400</v>
      </c>
      <c r="Z48" s="56">
        <v>400</v>
      </c>
      <c r="AA48" s="56"/>
      <c r="AB48" s="56"/>
      <c r="AC48" s="56">
        <v>400</v>
      </c>
      <c r="AD48" s="56">
        <v>400</v>
      </c>
      <c r="AE48" s="56">
        <v>400</v>
      </c>
      <c r="AF48" s="56">
        <v>400</v>
      </c>
      <c r="AG48" s="54">
        <v>85</v>
      </c>
      <c r="AH48" s="47">
        <f t="shared" si="2"/>
        <v>400</v>
      </c>
      <c r="AI48" s="48">
        <f t="shared" si="3"/>
        <v>400</v>
      </c>
      <c r="AK48" s="50"/>
    </row>
    <row r="49" spans="1:41" ht="15.75" thickBot="1" x14ac:dyDescent="0.3">
      <c r="A49" s="57" t="s">
        <v>57</v>
      </c>
      <c r="B49" s="56">
        <v>117.5</v>
      </c>
      <c r="C49" s="56">
        <v>117.5</v>
      </c>
      <c r="D49" s="56">
        <v>117.5</v>
      </c>
      <c r="E49" s="56">
        <v>121.5</v>
      </c>
      <c r="F49" s="56">
        <v>121.5</v>
      </c>
      <c r="G49" s="56">
        <v>121.5</v>
      </c>
      <c r="H49" s="56">
        <v>121.5</v>
      </c>
      <c r="I49" s="56">
        <v>121.5</v>
      </c>
      <c r="J49" s="56">
        <v>121.5</v>
      </c>
      <c r="K49" s="56">
        <v>121.5</v>
      </c>
      <c r="L49" s="56">
        <v>121.5</v>
      </c>
      <c r="M49" s="58">
        <f>29.7+75.9</f>
        <v>105.60000000000001</v>
      </c>
      <c r="N49" s="58">
        <f>29.7+75.9</f>
        <v>105.60000000000001</v>
      </c>
      <c r="O49" s="58">
        <f>30+77.9</f>
        <v>107.9</v>
      </c>
      <c r="P49" s="58">
        <f>30+77.9</f>
        <v>107.9</v>
      </c>
      <c r="Q49" s="58">
        <f>30+77.9</f>
        <v>107.9</v>
      </c>
      <c r="R49" s="58">
        <f>30+77.9</f>
        <v>107.9</v>
      </c>
      <c r="S49" s="58">
        <v>110.3</v>
      </c>
      <c r="T49" s="58">
        <v>110.3</v>
      </c>
      <c r="U49" s="58">
        <v>110.3</v>
      </c>
      <c r="V49" s="58">
        <v>92</v>
      </c>
      <c r="W49" s="58">
        <v>92</v>
      </c>
      <c r="X49" s="58">
        <v>92</v>
      </c>
      <c r="Y49" s="56">
        <v>57.8</v>
      </c>
      <c r="Z49" s="56">
        <v>111.5</v>
      </c>
      <c r="AA49" s="56"/>
      <c r="AB49" s="56"/>
      <c r="AC49" s="56">
        <v>111.5</v>
      </c>
      <c r="AD49" s="56">
        <f>84.1+31.5</f>
        <v>115.6</v>
      </c>
      <c r="AE49" s="56">
        <f>32.3+84.5</f>
        <v>116.8</v>
      </c>
      <c r="AF49" s="56">
        <f>32.4+85</f>
        <v>117.4</v>
      </c>
      <c r="AG49" s="54">
        <v>240</v>
      </c>
      <c r="AH49" s="47">
        <f t="shared" si="2"/>
        <v>121.5</v>
      </c>
      <c r="AI49" s="48">
        <f t="shared" si="3"/>
        <v>57.8</v>
      </c>
      <c r="AK49" s="50"/>
    </row>
    <row r="50" spans="1:41" ht="15.75" thickBot="1" x14ac:dyDescent="0.3">
      <c r="A50" s="59" t="s">
        <v>58</v>
      </c>
      <c r="B50" s="60">
        <f t="shared" ref="B50" si="4">SUM(B11:B48)</f>
        <v>998.9</v>
      </c>
      <c r="C50" s="60">
        <f t="shared" ref="C50:AD50" si="5">SUM(C11:C48)</f>
        <v>1025.4000000000001</v>
      </c>
      <c r="D50" s="60">
        <f t="shared" ref="D50:E50" si="6">SUM(D11:D48)</f>
        <v>1025.4000000000001</v>
      </c>
      <c r="E50" s="60">
        <f t="shared" si="6"/>
        <v>1039.4000000000001</v>
      </c>
      <c r="F50" s="60">
        <f t="shared" ref="F50:G50" si="7">SUM(F11:F48)</f>
        <v>1039.4000000000001</v>
      </c>
      <c r="G50" s="60">
        <f t="shared" si="7"/>
        <v>1039.4000000000001</v>
      </c>
      <c r="H50" s="60">
        <f t="shared" ref="H50:I50" si="8">SUM(H11:H48)</f>
        <v>1039.4000000000001</v>
      </c>
      <c r="I50" s="60">
        <f t="shared" si="8"/>
        <v>1059</v>
      </c>
      <c r="J50" s="60">
        <f t="shared" ref="J50:K50" si="9">SUM(J11:J48)</f>
        <v>1059</v>
      </c>
      <c r="K50" s="60">
        <f t="shared" si="9"/>
        <v>1059</v>
      </c>
      <c r="L50" s="60">
        <f t="shared" ref="L50" si="10">SUM(L11:L48)</f>
        <v>1076.5</v>
      </c>
      <c r="M50" s="60">
        <f t="shared" si="5"/>
        <v>1101.5</v>
      </c>
      <c r="N50" s="60">
        <f t="shared" si="5"/>
        <v>1152</v>
      </c>
      <c r="O50" s="60">
        <f t="shared" si="5"/>
        <v>1152</v>
      </c>
      <c r="P50" s="60">
        <f t="shared" si="5"/>
        <v>1152</v>
      </c>
      <c r="Q50" s="60">
        <f t="shared" si="5"/>
        <v>1114.5</v>
      </c>
      <c r="R50" s="60">
        <f t="shared" si="5"/>
        <v>1102.5</v>
      </c>
      <c r="S50" s="60">
        <f t="shared" si="5"/>
        <v>1098.5</v>
      </c>
      <c r="T50" s="60">
        <f t="shared" si="5"/>
        <v>1084</v>
      </c>
      <c r="U50" s="60">
        <f t="shared" si="5"/>
        <v>1115.1000000000001</v>
      </c>
      <c r="V50" s="60">
        <f t="shared" si="5"/>
        <v>1115.1000000000001</v>
      </c>
      <c r="W50" s="60">
        <f t="shared" si="5"/>
        <v>1160.1000000000001</v>
      </c>
      <c r="X50" s="60">
        <f t="shared" si="5"/>
        <v>1183.1000000000001</v>
      </c>
      <c r="Y50" s="60">
        <f t="shared" si="5"/>
        <v>1191.4000000000001</v>
      </c>
      <c r="Z50" s="60">
        <f t="shared" si="5"/>
        <v>1191.4000000000001</v>
      </c>
      <c r="AA50" s="60">
        <f t="shared" si="5"/>
        <v>0</v>
      </c>
      <c r="AB50" s="60">
        <f t="shared" si="5"/>
        <v>0</v>
      </c>
      <c r="AC50" s="60">
        <f t="shared" si="5"/>
        <v>1054.5</v>
      </c>
      <c r="AD50" s="60">
        <f t="shared" si="5"/>
        <v>1055</v>
      </c>
      <c r="AE50" s="60">
        <f t="shared" ref="AE50:AF50" si="11">SUM(AE11:AE48)</f>
        <v>1032.0999999999999</v>
      </c>
      <c r="AF50" s="60">
        <f t="shared" si="11"/>
        <v>1058.4000000000001</v>
      </c>
      <c r="AG50" s="61">
        <f>SUM(AG13:AG48)</f>
        <v>922.14</v>
      </c>
      <c r="AH50" s="47">
        <f t="shared" si="2"/>
        <v>1191.4000000000001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330</v>
      </c>
      <c r="C51" s="45">
        <v>330</v>
      </c>
      <c r="D51" s="45">
        <v>330</v>
      </c>
      <c r="E51" s="45">
        <v>330</v>
      </c>
      <c r="F51" s="45">
        <v>330</v>
      </c>
      <c r="G51" s="45">
        <v>330</v>
      </c>
      <c r="H51" s="45">
        <v>330</v>
      </c>
      <c r="I51" s="45">
        <v>330</v>
      </c>
      <c r="J51" s="45">
        <v>330</v>
      </c>
      <c r="K51" s="45">
        <v>330</v>
      </c>
      <c r="L51" s="45">
        <v>350</v>
      </c>
      <c r="M51" s="45">
        <v>350</v>
      </c>
      <c r="N51" s="45">
        <v>430</v>
      </c>
      <c r="O51" s="45">
        <v>380</v>
      </c>
      <c r="P51" s="45">
        <v>400</v>
      </c>
      <c r="Q51" s="45">
        <v>400</v>
      </c>
      <c r="R51" s="175">
        <v>380</v>
      </c>
      <c r="S51" s="175">
        <v>380</v>
      </c>
      <c r="T51" s="175">
        <v>380</v>
      </c>
      <c r="U51" s="175">
        <v>380</v>
      </c>
      <c r="V51" s="175">
        <v>355</v>
      </c>
      <c r="W51" s="175">
        <v>355</v>
      </c>
      <c r="X51" s="175">
        <v>365</v>
      </c>
      <c r="Y51" s="45">
        <v>380</v>
      </c>
      <c r="Z51" s="45">
        <v>355</v>
      </c>
      <c r="AA51" s="45"/>
      <c r="AB51" s="45"/>
      <c r="AC51" s="45">
        <v>350</v>
      </c>
      <c r="AD51" s="45">
        <v>350</v>
      </c>
      <c r="AE51" s="45">
        <v>350</v>
      </c>
      <c r="AF51" s="45">
        <v>350</v>
      </c>
      <c r="AG51" s="51">
        <v>456</v>
      </c>
      <c r="AH51" s="47">
        <f t="shared" si="2"/>
        <v>430</v>
      </c>
      <c r="AI51" s="48">
        <f t="shared" si="3"/>
        <v>330</v>
      </c>
      <c r="AK51" s="50"/>
    </row>
    <row r="52" spans="1:41" x14ac:dyDescent="0.25">
      <c r="A52" s="63" t="s">
        <v>60</v>
      </c>
      <c r="B52" s="64">
        <v>60</v>
      </c>
      <c r="C52" s="64">
        <v>60</v>
      </c>
      <c r="D52" s="64">
        <v>60</v>
      </c>
      <c r="E52" s="64">
        <v>60</v>
      </c>
      <c r="F52" s="64">
        <v>60</v>
      </c>
      <c r="G52" s="64">
        <v>60</v>
      </c>
      <c r="H52" s="64">
        <v>60</v>
      </c>
      <c r="I52" s="64">
        <v>60</v>
      </c>
      <c r="J52" s="64">
        <v>60</v>
      </c>
      <c r="K52" s="64">
        <v>60</v>
      </c>
      <c r="L52" s="64">
        <v>60</v>
      </c>
      <c r="M52" s="64">
        <v>60</v>
      </c>
      <c r="N52" s="64">
        <v>60</v>
      </c>
      <c r="O52" s="64">
        <v>60</v>
      </c>
      <c r="P52" s="64">
        <v>60</v>
      </c>
      <c r="Q52" s="64">
        <v>60</v>
      </c>
      <c r="R52" s="64">
        <v>60</v>
      </c>
      <c r="S52" s="64">
        <v>60</v>
      </c>
      <c r="T52" s="64">
        <v>60</v>
      </c>
      <c r="U52" s="64">
        <v>60</v>
      </c>
      <c r="V52" s="64">
        <v>60</v>
      </c>
      <c r="W52" s="64">
        <v>60</v>
      </c>
      <c r="X52" s="64">
        <v>60</v>
      </c>
      <c r="Y52" s="64">
        <v>60</v>
      </c>
      <c r="Z52" s="64">
        <v>60</v>
      </c>
      <c r="AA52" s="64"/>
      <c r="AB52" s="64"/>
      <c r="AC52" s="64">
        <v>60</v>
      </c>
      <c r="AD52" s="64">
        <v>60</v>
      </c>
      <c r="AE52" s="64">
        <v>60</v>
      </c>
      <c r="AF52" s="64">
        <v>60</v>
      </c>
      <c r="AG52" s="54">
        <v>60</v>
      </c>
      <c r="AH52" s="47">
        <f t="shared" si="2"/>
        <v>60</v>
      </c>
      <c r="AI52" s="48">
        <f t="shared" si="3"/>
        <v>60</v>
      </c>
      <c r="AK52" s="50"/>
    </row>
    <row r="53" spans="1:41" ht="15.75" thickBot="1" x14ac:dyDescent="0.3">
      <c r="A53" s="65" t="s">
        <v>61</v>
      </c>
      <c r="B53" s="66">
        <v>22.1</v>
      </c>
      <c r="C53" s="66">
        <v>22</v>
      </c>
      <c r="D53" s="66">
        <v>22</v>
      </c>
      <c r="E53" s="66">
        <v>22</v>
      </c>
      <c r="F53" s="66">
        <v>22</v>
      </c>
      <c r="G53" s="66">
        <v>22</v>
      </c>
      <c r="H53" s="66">
        <v>22</v>
      </c>
      <c r="I53" s="66">
        <v>22</v>
      </c>
      <c r="J53" s="66">
        <v>22</v>
      </c>
      <c r="K53" s="66">
        <v>22</v>
      </c>
      <c r="L53" s="66">
        <v>22</v>
      </c>
      <c r="M53" s="66">
        <v>22</v>
      </c>
      <c r="N53" s="66">
        <v>22</v>
      </c>
      <c r="O53" s="66">
        <v>22</v>
      </c>
      <c r="P53" s="66">
        <v>22</v>
      </c>
      <c r="Q53" s="66">
        <v>22</v>
      </c>
      <c r="R53" s="66">
        <v>22</v>
      </c>
      <c r="S53" s="66">
        <v>22</v>
      </c>
      <c r="T53" s="66">
        <v>22</v>
      </c>
      <c r="U53" s="66">
        <v>22</v>
      </c>
      <c r="V53" s="66">
        <v>22</v>
      </c>
      <c r="W53" s="66">
        <v>22</v>
      </c>
      <c r="X53" s="66">
        <v>22</v>
      </c>
      <c r="Y53" s="66">
        <v>22</v>
      </c>
      <c r="Z53" s="66">
        <v>22</v>
      </c>
      <c r="AA53" s="66"/>
      <c r="AB53" s="66"/>
      <c r="AC53" s="66">
        <v>22</v>
      </c>
      <c r="AD53" s="66">
        <v>22</v>
      </c>
      <c r="AE53" s="66">
        <v>22</v>
      </c>
      <c r="AF53" s="66">
        <v>22</v>
      </c>
      <c r="AG53" s="67">
        <v>22.1</v>
      </c>
      <c r="AH53" s="47">
        <f t="shared" si="2"/>
        <v>22.1</v>
      </c>
      <c r="AI53" s="48">
        <f t="shared" si="3"/>
        <v>22</v>
      </c>
      <c r="AK53" s="50"/>
    </row>
    <row r="54" spans="1:41" ht="15.75" thickBot="1" x14ac:dyDescent="0.3">
      <c r="A54" s="68" t="s">
        <v>62</v>
      </c>
      <c r="B54" s="60">
        <f t="shared" ref="B54" si="12">SUM(B51:B53)</f>
        <v>412.1</v>
      </c>
      <c r="C54" s="60">
        <f t="shared" ref="C54:AG54" si="13">SUM(C51:C53)</f>
        <v>412</v>
      </c>
      <c r="D54" s="60">
        <f t="shared" ref="D54:E54" si="14">SUM(D51:D53)</f>
        <v>412</v>
      </c>
      <c r="E54" s="60">
        <f t="shared" si="14"/>
        <v>412</v>
      </c>
      <c r="F54" s="60">
        <f t="shared" ref="F54:G54" si="15">SUM(F51:F53)</f>
        <v>412</v>
      </c>
      <c r="G54" s="60">
        <f t="shared" si="15"/>
        <v>412</v>
      </c>
      <c r="H54" s="60">
        <f t="shared" ref="H54:I54" si="16">SUM(H51:H53)</f>
        <v>412</v>
      </c>
      <c r="I54" s="60">
        <f t="shared" si="16"/>
        <v>412</v>
      </c>
      <c r="J54" s="60">
        <f t="shared" ref="J54:K54" si="17">SUM(J51:J53)</f>
        <v>412</v>
      </c>
      <c r="K54" s="60">
        <f t="shared" si="17"/>
        <v>412</v>
      </c>
      <c r="L54" s="60">
        <f t="shared" ref="L54" si="18">SUM(L51:L53)</f>
        <v>432</v>
      </c>
      <c r="M54" s="60">
        <f t="shared" si="13"/>
        <v>432</v>
      </c>
      <c r="N54" s="60">
        <f t="shared" si="13"/>
        <v>512</v>
      </c>
      <c r="O54" s="60">
        <f t="shared" si="13"/>
        <v>462</v>
      </c>
      <c r="P54" s="60">
        <f t="shared" si="13"/>
        <v>482</v>
      </c>
      <c r="Q54" s="60">
        <f t="shared" si="13"/>
        <v>482</v>
      </c>
      <c r="R54" s="60">
        <f t="shared" si="13"/>
        <v>462</v>
      </c>
      <c r="S54" s="60">
        <f t="shared" si="13"/>
        <v>462</v>
      </c>
      <c r="T54" s="60">
        <f t="shared" si="13"/>
        <v>462</v>
      </c>
      <c r="U54" s="60">
        <f t="shared" si="13"/>
        <v>462</v>
      </c>
      <c r="V54" s="60">
        <f t="shared" si="13"/>
        <v>437</v>
      </c>
      <c r="W54" s="60">
        <f t="shared" si="13"/>
        <v>437</v>
      </c>
      <c r="X54" s="60">
        <f t="shared" si="13"/>
        <v>447</v>
      </c>
      <c r="Y54" s="60">
        <f t="shared" si="13"/>
        <v>462</v>
      </c>
      <c r="Z54" s="60">
        <f t="shared" si="13"/>
        <v>437</v>
      </c>
      <c r="AA54" s="60">
        <f t="shared" si="13"/>
        <v>0</v>
      </c>
      <c r="AB54" s="60">
        <f t="shared" si="13"/>
        <v>0</v>
      </c>
      <c r="AC54" s="60">
        <f t="shared" si="13"/>
        <v>432</v>
      </c>
      <c r="AD54" s="60">
        <f t="shared" si="13"/>
        <v>432</v>
      </c>
      <c r="AE54" s="60">
        <f t="shared" ref="AE54:AF54" si="19">SUM(AE51:AE53)</f>
        <v>432</v>
      </c>
      <c r="AF54" s="60">
        <f t="shared" si="19"/>
        <v>432</v>
      </c>
      <c r="AG54" s="61">
        <f t="shared" si="13"/>
        <v>538.1</v>
      </c>
      <c r="AH54" s="47">
        <f t="shared" si="2"/>
        <v>512</v>
      </c>
      <c r="AI54" s="48">
        <f t="shared" si="3"/>
        <v>0</v>
      </c>
      <c r="AK54" s="50"/>
    </row>
    <row r="55" spans="1:41" x14ac:dyDescent="0.25">
      <c r="A55" s="44" t="s">
        <v>63</v>
      </c>
      <c r="B55" s="45">
        <v>45</v>
      </c>
      <c r="C55" s="45">
        <v>71</v>
      </c>
      <c r="D55" s="45">
        <v>0</v>
      </c>
      <c r="E55" s="45">
        <v>60.9</v>
      </c>
      <c r="F55" s="45">
        <v>60.9</v>
      </c>
      <c r="G55" s="45">
        <v>97.1</v>
      </c>
      <c r="H55" s="45">
        <v>97.2</v>
      </c>
      <c r="I55" s="45">
        <v>97.2</v>
      </c>
      <c r="J55" s="45">
        <v>97.2</v>
      </c>
      <c r="K55" s="45">
        <v>121.5</v>
      </c>
      <c r="L55" s="45">
        <v>137.1</v>
      </c>
      <c r="M55" s="45">
        <v>145.30000000000001</v>
      </c>
      <c r="N55" s="45">
        <v>145.30000000000001</v>
      </c>
      <c r="O55" s="45">
        <v>145.30000000000001</v>
      </c>
      <c r="P55" s="45">
        <v>145.30000000000001</v>
      </c>
      <c r="Q55" s="45">
        <v>142.30000000000001</v>
      </c>
      <c r="R55" s="45">
        <v>131.4</v>
      </c>
      <c r="S55" s="45">
        <v>144.69999999999999</v>
      </c>
      <c r="T55" s="45">
        <v>144.69999999999999</v>
      </c>
      <c r="U55" s="45">
        <v>144.69999999999999</v>
      </c>
      <c r="V55" s="45">
        <v>144.69999999999999</v>
      </c>
      <c r="W55" s="45">
        <v>144.69999999999999</v>
      </c>
      <c r="X55" s="45">
        <v>146.1</v>
      </c>
      <c r="Y55" s="45">
        <v>146</v>
      </c>
      <c r="Z55" s="45">
        <v>146</v>
      </c>
      <c r="AA55" s="45"/>
      <c r="AB55" s="45"/>
      <c r="AC55" s="45">
        <v>91.1</v>
      </c>
      <c r="AD55" s="45">
        <v>91.3</v>
      </c>
      <c r="AE55" s="45">
        <v>91.3</v>
      </c>
      <c r="AF55" s="45">
        <v>110</v>
      </c>
      <c r="AG55" s="51">
        <v>144</v>
      </c>
      <c r="AH55" s="47">
        <f t="shared" si="2"/>
        <v>146.1</v>
      </c>
      <c r="AI55" s="48">
        <f t="shared" si="3"/>
        <v>0</v>
      </c>
      <c r="AK55" s="50"/>
    </row>
    <row r="56" spans="1:41" x14ac:dyDescent="0.25">
      <c r="A56" s="53" t="s">
        <v>64</v>
      </c>
      <c r="B56" s="64">
        <v>51</v>
      </c>
      <c r="C56" s="64">
        <v>70</v>
      </c>
      <c r="D56" s="64">
        <v>70</v>
      </c>
      <c r="E56" s="64">
        <v>46.3</v>
      </c>
      <c r="F56" s="64">
        <v>46.3</v>
      </c>
      <c r="G56" s="64">
        <v>69.2</v>
      </c>
      <c r="H56" s="64">
        <v>68.2</v>
      </c>
      <c r="I56" s="64">
        <v>60.1</v>
      </c>
      <c r="J56" s="64">
        <v>30.3</v>
      </c>
      <c r="K56" s="64">
        <v>60</v>
      </c>
      <c r="L56" s="64">
        <v>70.7</v>
      </c>
      <c r="M56" s="64">
        <v>71.3</v>
      </c>
      <c r="N56" s="64">
        <v>71.3</v>
      </c>
      <c r="O56" s="64">
        <v>71.3</v>
      </c>
      <c r="P56" s="64">
        <v>71.3</v>
      </c>
      <c r="Q56" s="64">
        <v>69.599999999999994</v>
      </c>
      <c r="R56" s="64">
        <v>70</v>
      </c>
      <c r="S56" s="64">
        <v>70</v>
      </c>
      <c r="T56" s="64">
        <v>71.400000000000006</v>
      </c>
      <c r="U56" s="64">
        <v>69.8</v>
      </c>
      <c r="V56" s="64">
        <v>69.8</v>
      </c>
      <c r="W56" s="64">
        <v>69.8</v>
      </c>
      <c r="X56" s="64">
        <v>71.2</v>
      </c>
      <c r="Y56" s="45">
        <v>69</v>
      </c>
      <c r="Z56" s="45">
        <v>69</v>
      </c>
      <c r="AA56" s="45"/>
      <c r="AB56" s="45"/>
      <c r="AC56" s="45">
        <v>60.6</v>
      </c>
      <c r="AD56" s="64">
        <v>49.6</v>
      </c>
      <c r="AE56" s="64">
        <v>49.6</v>
      </c>
      <c r="AF56" s="64">
        <v>52.2</v>
      </c>
      <c r="AG56" s="54">
        <v>70</v>
      </c>
      <c r="AH56" s="47">
        <f t="shared" si="2"/>
        <v>71.400000000000006</v>
      </c>
      <c r="AI56" s="48">
        <f t="shared" si="3"/>
        <v>30.3</v>
      </c>
      <c r="AK56" s="50"/>
    </row>
    <row r="57" spans="1:41" x14ac:dyDescent="0.25">
      <c r="A57" s="53" t="s">
        <v>65</v>
      </c>
      <c r="B57" s="64">
        <v>58</v>
      </c>
      <c r="C57" s="64">
        <v>70</v>
      </c>
      <c r="D57" s="64">
        <v>70</v>
      </c>
      <c r="E57" s="64">
        <v>56.9</v>
      </c>
      <c r="F57" s="64">
        <v>68.099999999999994</v>
      </c>
      <c r="G57" s="64">
        <v>68.3</v>
      </c>
      <c r="H57" s="64">
        <v>68.2</v>
      </c>
      <c r="I57" s="64">
        <v>68.2</v>
      </c>
      <c r="J57" s="64">
        <v>68.2</v>
      </c>
      <c r="K57" s="64">
        <v>70</v>
      </c>
      <c r="L57" s="64">
        <v>70</v>
      </c>
      <c r="M57" s="64">
        <v>69.599999999999994</v>
      </c>
      <c r="N57" s="64">
        <v>69.599999999999994</v>
      </c>
      <c r="O57" s="64">
        <v>69.599999999999994</v>
      </c>
      <c r="P57" s="64">
        <v>69.599999999999994</v>
      </c>
      <c r="Q57" s="64">
        <v>54</v>
      </c>
      <c r="R57" s="64">
        <v>69.5</v>
      </c>
      <c r="S57" s="64">
        <v>69.5</v>
      </c>
      <c r="T57" s="64">
        <v>69.5</v>
      </c>
      <c r="U57" s="64">
        <v>67.099999999999994</v>
      </c>
      <c r="V57" s="64">
        <v>60.8</v>
      </c>
      <c r="W57" s="64">
        <v>70.3</v>
      </c>
      <c r="X57" s="64">
        <v>70</v>
      </c>
      <c r="Y57" s="45">
        <v>70</v>
      </c>
      <c r="Z57" s="45">
        <v>70</v>
      </c>
      <c r="AA57" s="45"/>
      <c r="AB57" s="45"/>
      <c r="AC57" s="45">
        <v>49.6</v>
      </c>
      <c r="AD57" s="64">
        <v>55.9</v>
      </c>
      <c r="AE57" s="64">
        <v>55.9</v>
      </c>
      <c r="AF57" s="64">
        <v>52.3</v>
      </c>
      <c r="AG57" s="54">
        <v>69</v>
      </c>
      <c r="AH57" s="47">
        <f t="shared" si="2"/>
        <v>70.3</v>
      </c>
      <c r="AI57" s="48">
        <f t="shared" si="3"/>
        <v>49.6</v>
      </c>
      <c r="AK57" s="50"/>
    </row>
    <row r="58" spans="1:41" x14ac:dyDescent="0.25">
      <c r="A58" s="53" t="s">
        <v>66</v>
      </c>
      <c r="B58" s="64">
        <v>61</v>
      </c>
      <c r="C58" s="64">
        <v>0</v>
      </c>
      <c r="D58" s="64">
        <v>0</v>
      </c>
      <c r="E58" s="64">
        <v>0</v>
      </c>
      <c r="F58" s="64">
        <v>0</v>
      </c>
      <c r="G58" s="64">
        <v>0</v>
      </c>
      <c r="H58" s="64">
        <v>0</v>
      </c>
      <c r="I58" s="64">
        <v>0</v>
      </c>
      <c r="J58" s="64">
        <v>49.9</v>
      </c>
      <c r="K58" s="64">
        <v>60.2</v>
      </c>
      <c r="L58" s="64">
        <v>60.2</v>
      </c>
      <c r="M58" s="64">
        <v>59.7</v>
      </c>
      <c r="N58" s="64">
        <v>59.7</v>
      </c>
      <c r="O58" s="64">
        <v>59.7</v>
      </c>
      <c r="P58" s="64">
        <v>59.7</v>
      </c>
      <c r="Q58" s="64">
        <v>56.7</v>
      </c>
      <c r="R58" s="64">
        <v>56</v>
      </c>
      <c r="S58" s="64">
        <v>50</v>
      </c>
      <c r="T58" s="64">
        <v>61.2</v>
      </c>
      <c r="U58" s="64">
        <v>61.2</v>
      </c>
      <c r="V58" s="64">
        <v>61.2</v>
      </c>
      <c r="W58" s="64">
        <v>61.2</v>
      </c>
      <c r="X58" s="64">
        <v>61.2</v>
      </c>
      <c r="Y58" s="45">
        <v>61.2</v>
      </c>
      <c r="Z58" s="45">
        <v>61.2</v>
      </c>
      <c r="AA58" s="45"/>
      <c r="AB58" s="45"/>
      <c r="AC58" s="45">
        <v>51.4</v>
      </c>
      <c r="AD58" s="64">
        <v>51.4</v>
      </c>
      <c r="AE58" s="64">
        <v>51.4</v>
      </c>
      <c r="AF58" s="64">
        <v>42.8</v>
      </c>
      <c r="AG58" s="54">
        <v>60</v>
      </c>
      <c r="AH58" s="47">
        <f t="shared" si="2"/>
        <v>61.2</v>
      </c>
      <c r="AI58" s="48">
        <f t="shared" si="3"/>
        <v>0</v>
      </c>
      <c r="AK58" s="50"/>
    </row>
    <row r="59" spans="1:41" x14ac:dyDescent="0.25">
      <c r="A59" s="53" t="s">
        <v>67</v>
      </c>
      <c r="B59" s="64">
        <v>15</v>
      </c>
      <c r="C59" s="64">
        <v>15</v>
      </c>
      <c r="D59" s="64">
        <v>15</v>
      </c>
      <c r="E59" s="64">
        <v>13</v>
      </c>
      <c r="F59" s="64">
        <v>13</v>
      </c>
      <c r="G59" s="64">
        <v>30</v>
      </c>
      <c r="H59" s="64">
        <v>30</v>
      </c>
      <c r="I59" s="64">
        <v>30</v>
      </c>
      <c r="J59" s="64">
        <v>30</v>
      </c>
      <c r="K59" s="64">
        <v>30</v>
      </c>
      <c r="L59" s="64">
        <v>30</v>
      </c>
      <c r="M59" s="64">
        <v>12</v>
      </c>
      <c r="N59" s="64">
        <v>12</v>
      </c>
      <c r="O59" s="64">
        <v>12</v>
      </c>
      <c r="P59" s="64">
        <v>12</v>
      </c>
      <c r="Q59" s="64">
        <v>12</v>
      </c>
      <c r="R59" s="64">
        <v>12</v>
      </c>
      <c r="S59" s="64">
        <v>12</v>
      </c>
      <c r="T59" s="64">
        <v>15</v>
      </c>
      <c r="U59" s="64">
        <v>15</v>
      </c>
      <c r="V59" s="64">
        <v>15</v>
      </c>
      <c r="W59" s="64">
        <v>15</v>
      </c>
      <c r="X59" s="64">
        <v>15</v>
      </c>
      <c r="Y59" s="45">
        <v>15</v>
      </c>
      <c r="Z59" s="45">
        <v>0</v>
      </c>
      <c r="AA59" s="45"/>
      <c r="AB59" s="45"/>
      <c r="AC59" s="45">
        <v>15</v>
      </c>
      <c r="AD59" s="64">
        <v>15</v>
      </c>
      <c r="AE59" s="64">
        <v>15</v>
      </c>
      <c r="AF59" s="64">
        <v>15</v>
      </c>
      <c r="AG59" s="54">
        <v>30</v>
      </c>
      <c r="AH59" s="47">
        <f t="shared" si="2"/>
        <v>30</v>
      </c>
      <c r="AI59" s="48">
        <f t="shared" si="3"/>
        <v>0</v>
      </c>
      <c r="AK59" s="50"/>
    </row>
    <row r="60" spans="1:41" x14ac:dyDescent="0.25">
      <c r="A60" s="53" t="s">
        <v>68</v>
      </c>
      <c r="B60" s="64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2.5</v>
      </c>
      <c r="L60" s="64">
        <v>3</v>
      </c>
      <c r="M60" s="64">
        <v>9.8000000000000007</v>
      </c>
      <c r="N60" s="64">
        <v>10.5</v>
      </c>
      <c r="O60" s="64">
        <v>16.600000000000001</v>
      </c>
      <c r="P60" s="64">
        <v>16.600000000000001</v>
      </c>
      <c r="Q60" s="64">
        <v>16.600000000000001</v>
      </c>
      <c r="R60" s="64">
        <v>12.8</v>
      </c>
      <c r="S60" s="64">
        <v>7.7</v>
      </c>
      <c r="T60" s="64">
        <v>7.2</v>
      </c>
      <c r="U60" s="64">
        <v>2.8</v>
      </c>
      <c r="V60" s="64">
        <v>0.3</v>
      </c>
      <c r="W60" s="64">
        <v>0.3</v>
      </c>
      <c r="X60" s="64">
        <v>0</v>
      </c>
      <c r="Y60" s="45">
        <v>0</v>
      </c>
      <c r="Z60" s="45">
        <v>0</v>
      </c>
      <c r="AA60" s="45"/>
      <c r="AB60" s="45"/>
      <c r="AC60" s="45">
        <v>0</v>
      </c>
      <c r="AD60" s="64">
        <v>0</v>
      </c>
      <c r="AE60" s="64">
        <v>0</v>
      </c>
      <c r="AF60" s="64">
        <v>0</v>
      </c>
      <c r="AG60" s="54">
        <v>25</v>
      </c>
      <c r="AH60" s="47">
        <f t="shared" si="2"/>
        <v>16.600000000000001</v>
      </c>
      <c r="AI60" s="48">
        <f t="shared" si="3"/>
        <v>0</v>
      </c>
      <c r="AK60" s="50"/>
    </row>
    <row r="61" spans="1:41" x14ac:dyDescent="0.25">
      <c r="A61" s="53" t="s">
        <v>69</v>
      </c>
      <c r="B61" s="64">
        <v>14</v>
      </c>
      <c r="C61" s="64">
        <v>14</v>
      </c>
      <c r="D61" s="64">
        <v>14</v>
      </c>
      <c r="E61" s="64">
        <v>14</v>
      </c>
      <c r="F61" s="64">
        <v>14</v>
      </c>
      <c r="G61" s="64">
        <v>14</v>
      </c>
      <c r="H61" s="64">
        <v>14</v>
      </c>
      <c r="I61" s="64">
        <v>14</v>
      </c>
      <c r="J61" s="64">
        <v>14</v>
      </c>
      <c r="K61" s="64">
        <v>14</v>
      </c>
      <c r="L61" s="64">
        <v>14</v>
      </c>
      <c r="M61" s="64">
        <v>14</v>
      </c>
      <c r="N61" s="64">
        <v>14</v>
      </c>
      <c r="O61" s="64">
        <v>14</v>
      </c>
      <c r="P61" s="64">
        <v>14</v>
      </c>
      <c r="Q61" s="64">
        <v>14</v>
      </c>
      <c r="R61" s="64">
        <v>8</v>
      </c>
      <c r="S61" s="64">
        <v>7</v>
      </c>
      <c r="T61" s="64">
        <v>15</v>
      </c>
      <c r="U61" s="64">
        <v>15</v>
      </c>
      <c r="V61" s="64">
        <v>15</v>
      </c>
      <c r="W61" s="64">
        <v>15</v>
      </c>
      <c r="X61" s="64">
        <v>15</v>
      </c>
      <c r="Y61" s="64">
        <v>15</v>
      </c>
      <c r="Z61" s="64">
        <v>15</v>
      </c>
      <c r="AA61" s="64"/>
      <c r="AB61" s="64"/>
      <c r="AC61" s="64">
        <v>15</v>
      </c>
      <c r="AD61" s="64">
        <v>15</v>
      </c>
      <c r="AE61" s="64">
        <v>15</v>
      </c>
      <c r="AF61" s="64">
        <v>15</v>
      </c>
      <c r="AG61" s="54">
        <v>24</v>
      </c>
      <c r="AH61" s="47">
        <f t="shared" si="2"/>
        <v>15</v>
      </c>
      <c r="AI61" s="48">
        <f t="shared" si="3"/>
        <v>7</v>
      </c>
      <c r="AK61" s="50"/>
    </row>
    <row r="62" spans="1:41" x14ac:dyDescent="0.25">
      <c r="A62" s="53" t="s">
        <v>70</v>
      </c>
      <c r="B62" s="64">
        <v>2.5</v>
      </c>
      <c r="C62" s="64">
        <v>2.5</v>
      </c>
      <c r="D62" s="64">
        <v>2.5</v>
      </c>
      <c r="E62" s="64">
        <v>2.5</v>
      </c>
      <c r="F62" s="64">
        <v>2.5</v>
      </c>
      <c r="G62" s="64">
        <v>2.5</v>
      </c>
      <c r="H62" s="64">
        <v>2.5</v>
      </c>
      <c r="I62" s="64">
        <v>2.5</v>
      </c>
      <c r="J62" s="64">
        <v>2.5</v>
      </c>
      <c r="K62" s="64">
        <v>2.5</v>
      </c>
      <c r="L62" s="64">
        <v>2.5</v>
      </c>
      <c r="M62" s="64">
        <v>2.5</v>
      </c>
      <c r="N62" s="64">
        <v>2.5</v>
      </c>
      <c r="O62" s="64">
        <v>2.5</v>
      </c>
      <c r="P62" s="64">
        <v>2.5</v>
      </c>
      <c r="Q62" s="64">
        <v>2.5</v>
      </c>
      <c r="R62" s="64">
        <v>2.5</v>
      </c>
      <c r="S62" s="64">
        <v>2.5</v>
      </c>
      <c r="T62" s="64">
        <v>2.5</v>
      </c>
      <c r="U62" s="64">
        <v>2.5</v>
      </c>
      <c r="V62" s="64">
        <v>2.5</v>
      </c>
      <c r="W62" s="64">
        <v>2.5</v>
      </c>
      <c r="X62" s="64">
        <v>2.5</v>
      </c>
      <c r="Y62" s="64">
        <v>2.5</v>
      </c>
      <c r="Z62" s="64">
        <v>2.5</v>
      </c>
      <c r="AA62" s="64"/>
      <c r="AB62" s="64"/>
      <c r="AC62" s="64">
        <v>2.5</v>
      </c>
      <c r="AD62" s="64">
        <v>2.5</v>
      </c>
      <c r="AE62" s="64">
        <v>2.5</v>
      </c>
      <c r="AF62" s="64">
        <v>2.5</v>
      </c>
      <c r="AG62" s="54">
        <v>15</v>
      </c>
      <c r="AH62" s="47">
        <f t="shared" si="2"/>
        <v>2.5</v>
      </c>
      <c r="AI62" s="48">
        <f t="shared" si="3"/>
        <v>2.5</v>
      </c>
      <c r="AK62" s="50"/>
      <c r="AL62" s="69"/>
      <c r="AO62" s="69"/>
    </row>
    <row r="63" spans="1:41" s="69" customFormat="1" x14ac:dyDescent="0.25">
      <c r="A63" s="53" t="s">
        <v>71</v>
      </c>
      <c r="B63" s="64">
        <v>9.4</v>
      </c>
      <c r="C63" s="64">
        <v>9.4</v>
      </c>
      <c r="D63" s="64">
        <v>9.4</v>
      </c>
      <c r="E63" s="64">
        <v>9.4</v>
      </c>
      <c r="F63" s="64">
        <v>9.4</v>
      </c>
      <c r="G63" s="64">
        <v>9.4</v>
      </c>
      <c r="H63" s="64">
        <v>9.4</v>
      </c>
      <c r="I63" s="64">
        <v>9.4</v>
      </c>
      <c r="J63" s="64">
        <v>9.4</v>
      </c>
      <c r="K63" s="64">
        <v>9.4</v>
      </c>
      <c r="L63" s="64">
        <v>9.4</v>
      </c>
      <c r="M63" s="64">
        <v>9.5</v>
      </c>
      <c r="N63" s="64">
        <v>9.5</v>
      </c>
      <c r="O63" s="64">
        <v>9.5</v>
      </c>
      <c r="P63" s="64">
        <v>9.5</v>
      </c>
      <c r="Q63" s="64">
        <v>0</v>
      </c>
      <c r="R63" s="64">
        <v>9.5</v>
      </c>
      <c r="S63" s="64">
        <v>9.1999999999999993</v>
      </c>
      <c r="T63" s="64">
        <v>9.1999999999999993</v>
      </c>
      <c r="U63" s="64">
        <v>9.1999999999999993</v>
      </c>
      <c r="V63" s="64">
        <v>9.1999999999999993</v>
      </c>
      <c r="W63" s="64">
        <v>9.1999999999999993</v>
      </c>
      <c r="X63" s="64">
        <v>9.1999999999999993</v>
      </c>
      <c r="Y63" s="64">
        <v>9.1999999999999993</v>
      </c>
      <c r="Z63" s="64">
        <v>9.1999999999999993</v>
      </c>
      <c r="AA63" s="64"/>
      <c r="AB63" s="64"/>
      <c r="AC63" s="64">
        <v>9.1999999999999993</v>
      </c>
      <c r="AD63" s="64">
        <v>9.1999999999999993</v>
      </c>
      <c r="AE63" s="64">
        <v>9.1999999999999993</v>
      </c>
      <c r="AF63" s="64">
        <v>9.1999999999999993</v>
      </c>
      <c r="AG63" s="54">
        <v>14.1</v>
      </c>
      <c r="AH63" s="47">
        <f t="shared" si="2"/>
        <v>9.5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>
        <v>0</v>
      </c>
      <c r="C64" s="64">
        <v>0</v>
      </c>
      <c r="D64" s="64">
        <v>0</v>
      </c>
      <c r="E64" s="64">
        <v>0</v>
      </c>
      <c r="F64" s="64">
        <v>0</v>
      </c>
      <c r="G64" s="64">
        <v>0</v>
      </c>
      <c r="H64" s="64">
        <v>0</v>
      </c>
      <c r="I64" s="64">
        <v>0</v>
      </c>
      <c r="J64" s="64">
        <v>0</v>
      </c>
      <c r="K64" s="64">
        <v>0</v>
      </c>
      <c r="L64" s="64">
        <v>0</v>
      </c>
      <c r="M64" s="64">
        <v>14.5</v>
      </c>
      <c r="N64" s="64">
        <v>14.5</v>
      </c>
      <c r="O64" s="64">
        <v>14.5</v>
      </c>
      <c r="P64" s="64">
        <v>14.5</v>
      </c>
      <c r="Q64" s="64">
        <v>14.5</v>
      </c>
      <c r="R64" s="64">
        <v>14.5</v>
      </c>
      <c r="S64" s="64">
        <v>14.5</v>
      </c>
      <c r="T64" s="64">
        <v>14.5</v>
      </c>
      <c r="U64" s="64">
        <v>14.5</v>
      </c>
      <c r="V64" s="64">
        <v>14.5</v>
      </c>
      <c r="W64" s="64">
        <v>14.5</v>
      </c>
      <c r="X64" s="64">
        <v>14.5</v>
      </c>
      <c r="Y64" s="64">
        <v>14.5</v>
      </c>
      <c r="Z64" s="64">
        <v>14.5</v>
      </c>
      <c r="AA64" s="64"/>
      <c r="AB64" s="64"/>
      <c r="AC64" s="64">
        <v>14.5</v>
      </c>
      <c r="AD64" s="64">
        <v>14.5</v>
      </c>
      <c r="AE64" s="64">
        <v>14.5</v>
      </c>
      <c r="AF64" s="64">
        <v>10.3</v>
      </c>
      <c r="AG64" s="54">
        <v>14</v>
      </c>
      <c r="AH64" s="47">
        <f t="shared" si="2"/>
        <v>14.5</v>
      </c>
      <c r="AI64" s="48">
        <f t="shared" si="3"/>
        <v>0</v>
      </c>
      <c r="AK64" s="50"/>
    </row>
    <row r="65" spans="1:40" x14ac:dyDescent="0.25">
      <c r="A65" s="53" t="s">
        <v>73</v>
      </c>
      <c r="B65" s="64">
        <v>6.3</v>
      </c>
      <c r="C65" s="64">
        <v>6.3</v>
      </c>
      <c r="D65" s="64">
        <v>6.3</v>
      </c>
      <c r="E65" s="64">
        <v>6.3</v>
      </c>
      <c r="F65" s="64">
        <v>6.3</v>
      </c>
      <c r="G65" s="64">
        <v>6.3</v>
      </c>
      <c r="H65" s="64">
        <v>6.3</v>
      </c>
      <c r="I65" s="64">
        <v>6.3</v>
      </c>
      <c r="J65" s="64">
        <v>6.3</v>
      </c>
      <c r="K65" s="64">
        <v>6.3</v>
      </c>
      <c r="L65" s="64">
        <v>6.3</v>
      </c>
      <c r="M65" s="64">
        <v>9</v>
      </c>
      <c r="N65" s="64">
        <v>9</v>
      </c>
      <c r="O65" s="64">
        <v>9</v>
      </c>
      <c r="P65" s="64">
        <v>9</v>
      </c>
      <c r="Q65" s="64">
        <v>9</v>
      </c>
      <c r="R65" s="64">
        <v>9</v>
      </c>
      <c r="S65" s="64">
        <v>9</v>
      </c>
      <c r="T65" s="64">
        <v>9</v>
      </c>
      <c r="U65" s="64">
        <v>9</v>
      </c>
      <c r="V65" s="64">
        <v>9</v>
      </c>
      <c r="W65" s="64">
        <v>9</v>
      </c>
      <c r="X65" s="64">
        <v>9</v>
      </c>
      <c r="Y65" s="64">
        <v>9</v>
      </c>
      <c r="Z65" s="64">
        <v>9</v>
      </c>
      <c r="AA65" s="64"/>
      <c r="AB65" s="64"/>
      <c r="AC65" s="64">
        <v>9</v>
      </c>
      <c r="AD65" s="64">
        <v>9</v>
      </c>
      <c r="AE65" s="64">
        <v>9</v>
      </c>
      <c r="AF65" s="64">
        <v>9</v>
      </c>
      <c r="AG65" s="54">
        <v>10.050000000000001</v>
      </c>
      <c r="AH65" s="47">
        <f t="shared" si="2"/>
        <v>9</v>
      </c>
      <c r="AI65" s="48">
        <f t="shared" si="3"/>
        <v>6.3</v>
      </c>
      <c r="AK65" s="50"/>
    </row>
    <row r="66" spans="1:40" x14ac:dyDescent="0.25">
      <c r="A66" s="53" t="s">
        <v>74</v>
      </c>
      <c r="B66" s="64">
        <v>6.2</v>
      </c>
      <c r="C66" s="64">
        <v>6.2</v>
      </c>
      <c r="D66" s="64">
        <v>6.2</v>
      </c>
      <c r="E66" s="64">
        <v>6.2</v>
      </c>
      <c r="F66" s="64">
        <v>6.2</v>
      </c>
      <c r="G66" s="64">
        <v>6.2</v>
      </c>
      <c r="H66" s="64">
        <v>6.2</v>
      </c>
      <c r="I66" s="64">
        <v>6.2</v>
      </c>
      <c r="J66" s="64">
        <v>6.2</v>
      </c>
      <c r="K66" s="64">
        <v>6.2</v>
      </c>
      <c r="L66" s="64">
        <v>6.2</v>
      </c>
      <c r="M66" s="64">
        <v>6.2</v>
      </c>
      <c r="N66" s="64">
        <v>6.2</v>
      </c>
      <c r="O66" s="64">
        <v>6.2</v>
      </c>
      <c r="P66" s="64">
        <v>6.2</v>
      </c>
      <c r="Q66" s="64">
        <v>6.2</v>
      </c>
      <c r="R66" s="64">
        <v>6.2</v>
      </c>
      <c r="S66" s="64">
        <v>6.2</v>
      </c>
      <c r="T66" s="64">
        <v>6.2</v>
      </c>
      <c r="U66" s="64">
        <v>6.2</v>
      </c>
      <c r="V66" s="64">
        <v>6.2</v>
      </c>
      <c r="W66" s="64">
        <v>6.2</v>
      </c>
      <c r="X66" s="64">
        <v>6.2</v>
      </c>
      <c r="Y66" s="64">
        <v>6.2</v>
      </c>
      <c r="Z66" s="64">
        <v>6.2</v>
      </c>
      <c r="AA66" s="64"/>
      <c r="AB66" s="64"/>
      <c r="AC66" s="64">
        <v>6.2</v>
      </c>
      <c r="AD66" s="64">
        <v>6.2</v>
      </c>
      <c r="AE66" s="64">
        <v>6.2</v>
      </c>
      <c r="AF66" s="64">
        <v>6.2</v>
      </c>
      <c r="AG66" s="54">
        <v>6.2</v>
      </c>
      <c r="AH66" s="47">
        <f t="shared" si="2"/>
        <v>6.2</v>
      </c>
      <c r="AI66" s="48">
        <f t="shared" si="3"/>
        <v>6.2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" si="20">SUM(B55:B67)</f>
        <v>271.94</v>
      </c>
      <c r="C68" s="60">
        <f t="shared" ref="C68:AG68" si="21">SUM(C55:C67)</f>
        <v>267.94</v>
      </c>
      <c r="D68" s="60">
        <f t="shared" ref="D68:E68" si="22">SUM(D55:D67)</f>
        <v>196.94</v>
      </c>
      <c r="E68" s="60">
        <f t="shared" si="22"/>
        <v>219.04</v>
      </c>
      <c r="F68" s="60">
        <f t="shared" ref="F68:G68" si="23">SUM(F55:F67)</f>
        <v>230.23999999999998</v>
      </c>
      <c r="G68" s="60">
        <f t="shared" si="23"/>
        <v>306.54000000000002</v>
      </c>
      <c r="H68" s="60">
        <f t="shared" ref="H68:I68" si="24">SUM(H55:H67)</f>
        <v>305.54000000000002</v>
      </c>
      <c r="I68" s="60">
        <f t="shared" si="24"/>
        <v>297.44</v>
      </c>
      <c r="J68" s="60">
        <f t="shared" ref="J68:K68" si="25">SUM(J55:J67)</f>
        <v>317.54000000000002</v>
      </c>
      <c r="K68" s="60">
        <f t="shared" si="25"/>
        <v>386.14</v>
      </c>
      <c r="L68" s="60">
        <f t="shared" ref="L68" si="26">SUM(L55:L67)</f>
        <v>412.94</v>
      </c>
      <c r="M68" s="60">
        <f t="shared" si="21"/>
        <v>426.94000000000005</v>
      </c>
      <c r="N68" s="60">
        <f t="shared" si="21"/>
        <v>427.64000000000004</v>
      </c>
      <c r="O68" s="60">
        <f t="shared" si="21"/>
        <v>433.74000000000007</v>
      </c>
      <c r="P68" s="60">
        <f t="shared" si="21"/>
        <v>433.74000000000007</v>
      </c>
      <c r="Q68" s="60">
        <f t="shared" si="21"/>
        <v>400.94</v>
      </c>
      <c r="R68" s="60">
        <f t="shared" si="21"/>
        <v>404.94</v>
      </c>
      <c r="S68" s="60">
        <f t="shared" si="21"/>
        <v>405.84</v>
      </c>
      <c r="T68" s="60">
        <f t="shared" si="21"/>
        <v>428.94</v>
      </c>
      <c r="U68" s="60">
        <f t="shared" si="21"/>
        <v>420.54</v>
      </c>
      <c r="V68" s="60">
        <f t="shared" si="21"/>
        <v>411.74</v>
      </c>
      <c r="W68" s="60">
        <f t="shared" si="21"/>
        <v>421.24</v>
      </c>
      <c r="X68" s="60">
        <f t="shared" si="21"/>
        <v>423.44</v>
      </c>
      <c r="Y68" s="60">
        <f t="shared" si="21"/>
        <v>421.14</v>
      </c>
      <c r="Z68" s="60">
        <f t="shared" si="21"/>
        <v>406.14</v>
      </c>
      <c r="AA68" s="60">
        <f t="shared" si="21"/>
        <v>3.54</v>
      </c>
      <c r="AB68" s="60">
        <f t="shared" si="21"/>
        <v>3.54</v>
      </c>
      <c r="AC68" s="60">
        <f t="shared" si="21"/>
        <v>327.64</v>
      </c>
      <c r="AD68" s="60">
        <f t="shared" si="21"/>
        <v>323.14000000000004</v>
      </c>
      <c r="AE68" s="60">
        <f t="shared" ref="AE68:AF68" si="27">SUM(AE55:AE67)</f>
        <v>323.14000000000004</v>
      </c>
      <c r="AF68" s="60">
        <f t="shared" si="27"/>
        <v>328.04</v>
      </c>
      <c r="AG68" s="61">
        <f t="shared" si="21"/>
        <v>489.91</v>
      </c>
      <c r="AH68" s="47">
        <f t="shared" si="2"/>
        <v>433.74000000000007</v>
      </c>
      <c r="AI68" s="48">
        <f t="shared" si="3"/>
        <v>3.54</v>
      </c>
      <c r="AK68" s="50"/>
    </row>
    <row r="69" spans="1:40" x14ac:dyDescent="0.25">
      <c r="A69" s="44" t="s">
        <v>77</v>
      </c>
      <c r="B69" s="45">
        <v>0</v>
      </c>
      <c r="C69" s="45">
        <v>0</v>
      </c>
      <c r="D69" s="45">
        <v>14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10.9</v>
      </c>
      <c r="P69" s="45">
        <v>0</v>
      </c>
      <c r="Q69" s="45">
        <v>0</v>
      </c>
      <c r="R69" s="45">
        <v>0</v>
      </c>
      <c r="S69" s="45"/>
      <c r="T69" s="45"/>
      <c r="U69" s="45"/>
      <c r="V69" s="45"/>
      <c r="W69" s="45"/>
      <c r="X69" s="45">
        <v>58.1</v>
      </c>
      <c r="Y69" s="45">
        <v>58.5</v>
      </c>
      <c r="Z69" s="45">
        <v>25.1</v>
      </c>
      <c r="AA69" s="45"/>
      <c r="AB69" s="45"/>
      <c r="AC69" s="45">
        <v>0</v>
      </c>
      <c r="AD69" s="45">
        <v>0</v>
      </c>
      <c r="AE69" s="45">
        <v>0</v>
      </c>
      <c r="AF69" s="45">
        <v>0</v>
      </c>
      <c r="AG69" s="51">
        <v>60</v>
      </c>
      <c r="AH69" s="47">
        <f t="shared" si="2"/>
        <v>58.5</v>
      </c>
      <c r="AI69" s="48">
        <f t="shared" si="3"/>
        <v>0</v>
      </c>
      <c r="AK69" s="50"/>
    </row>
    <row r="70" spans="1:40" x14ac:dyDescent="0.25">
      <c r="A70" s="53" t="s">
        <v>78</v>
      </c>
      <c r="B70" s="45">
        <v>0</v>
      </c>
      <c r="C70" s="45">
        <v>0</v>
      </c>
      <c r="D70" s="45">
        <v>7.1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64">
        <v>0</v>
      </c>
      <c r="N70" s="64">
        <v>0</v>
      </c>
      <c r="O70" s="64">
        <v>4.2</v>
      </c>
      <c r="P70" s="64">
        <v>0</v>
      </c>
      <c r="Q70" s="64">
        <v>0</v>
      </c>
      <c r="R70" s="64">
        <v>0</v>
      </c>
      <c r="S70" s="64"/>
      <c r="T70" s="64"/>
      <c r="U70" s="64"/>
      <c r="V70" s="64"/>
      <c r="W70" s="64"/>
      <c r="X70" s="64">
        <v>12.9</v>
      </c>
      <c r="Y70" s="64">
        <v>27.5</v>
      </c>
      <c r="Z70" s="64">
        <v>14.1</v>
      </c>
      <c r="AA70" s="64"/>
      <c r="AB70" s="64"/>
      <c r="AC70" s="64">
        <v>10</v>
      </c>
      <c r="AD70" s="64">
        <v>0</v>
      </c>
      <c r="AE70" s="64">
        <v>0</v>
      </c>
      <c r="AF70" s="64">
        <v>0</v>
      </c>
      <c r="AG70" s="54">
        <v>32</v>
      </c>
      <c r="AH70" s="47">
        <f t="shared" si="2"/>
        <v>27.5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>
        <v>0</v>
      </c>
      <c r="C71" s="45">
        <v>0</v>
      </c>
      <c r="D71" s="45">
        <v>2.6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66">
        <v>0</v>
      </c>
      <c r="N71" s="66">
        <v>0</v>
      </c>
      <c r="O71" s="66">
        <v>1.5</v>
      </c>
      <c r="P71" s="66">
        <v>0</v>
      </c>
      <c r="Q71" s="66">
        <v>0</v>
      </c>
      <c r="R71" s="66">
        <v>0</v>
      </c>
      <c r="S71" s="66"/>
      <c r="T71" s="66"/>
      <c r="U71" s="66"/>
      <c r="V71" s="66"/>
      <c r="W71" s="66"/>
      <c r="X71" s="66">
        <v>4.7</v>
      </c>
      <c r="Y71" s="66">
        <v>9.9</v>
      </c>
      <c r="Z71" s="66">
        <v>4.9000000000000004</v>
      </c>
      <c r="AA71" s="66"/>
      <c r="AB71" s="66"/>
      <c r="AC71" s="66">
        <v>3.7</v>
      </c>
      <c r="AD71" s="66">
        <v>0</v>
      </c>
      <c r="AE71" s="66">
        <v>0</v>
      </c>
      <c r="AF71" s="66">
        <v>0</v>
      </c>
      <c r="AG71" s="67">
        <v>14</v>
      </c>
      <c r="AH71" s="47">
        <f t="shared" si="2"/>
        <v>9.9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 t="shared" ref="B72" si="28"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60">
        <f t="shared" ref="M72:AD72" si="29">M69+M70+M71</f>
        <v>0</v>
      </c>
      <c r="N72" s="60">
        <f t="shared" si="29"/>
        <v>0</v>
      </c>
      <c r="O72" s="60">
        <f t="shared" si="29"/>
        <v>16.600000000000001</v>
      </c>
      <c r="P72" s="60">
        <f t="shared" si="29"/>
        <v>0</v>
      </c>
      <c r="Q72" s="60">
        <f t="shared" si="29"/>
        <v>0</v>
      </c>
      <c r="R72" s="60">
        <f t="shared" si="29"/>
        <v>0</v>
      </c>
      <c r="S72" s="60">
        <f t="shared" si="29"/>
        <v>0</v>
      </c>
      <c r="T72" s="60">
        <f t="shared" si="29"/>
        <v>0</v>
      </c>
      <c r="U72" s="60">
        <f t="shared" si="29"/>
        <v>0</v>
      </c>
      <c r="V72" s="60">
        <f t="shared" si="29"/>
        <v>0</v>
      </c>
      <c r="W72" s="60">
        <f t="shared" si="29"/>
        <v>0</v>
      </c>
      <c r="X72" s="60">
        <f t="shared" si="29"/>
        <v>75.7</v>
      </c>
      <c r="Y72" s="60">
        <f t="shared" si="29"/>
        <v>95.9</v>
      </c>
      <c r="Z72" s="60">
        <f t="shared" si="29"/>
        <v>44.1</v>
      </c>
      <c r="AA72" s="60">
        <f t="shared" si="29"/>
        <v>0</v>
      </c>
      <c r="AB72" s="60">
        <f t="shared" si="29"/>
        <v>0</v>
      </c>
      <c r="AC72" s="60">
        <f t="shared" si="29"/>
        <v>13.7</v>
      </c>
      <c r="AD72" s="60">
        <f t="shared" si="29"/>
        <v>0</v>
      </c>
      <c r="AE72" s="60">
        <f t="shared" ref="AE72:AF72" si="30">AE69+AE70+AE71</f>
        <v>0</v>
      </c>
      <c r="AF72" s="60">
        <f t="shared" si="30"/>
        <v>0</v>
      </c>
      <c r="AG72" s="61">
        <f>SUM(AG69:AG71)</f>
        <v>106</v>
      </c>
      <c r="AH72" s="47">
        <f t="shared" si="2"/>
        <v>95.9</v>
      </c>
      <c r="AI72" s="48">
        <f t="shared" si="3"/>
        <v>0</v>
      </c>
      <c r="AK72" s="50"/>
    </row>
    <row r="73" spans="1:40" x14ac:dyDescent="0.25">
      <c r="A73" s="44" t="s">
        <v>81</v>
      </c>
      <c r="B73" s="45">
        <v>-60</v>
      </c>
      <c r="C73" s="45">
        <v>-69</v>
      </c>
      <c r="D73" s="45">
        <v>-70</v>
      </c>
      <c r="E73" s="45">
        <v>-69.099999999999994</v>
      </c>
      <c r="F73" s="45">
        <v>-58.9</v>
      </c>
      <c r="G73" s="45">
        <v>-58.9</v>
      </c>
      <c r="H73" s="45">
        <v>-55.6</v>
      </c>
      <c r="I73" s="45">
        <v>-60.2</v>
      </c>
      <c r="J73" s="45">
        <v>-57.2</v>
      </c>
      <c r="K73" s="45">
        <v>-56.3</v>
      </c>
      <c r="L73" s="45">
        <v>-56.5</v>
      </c>
      <c r="M73" s="45">
        <v>-41.8</v>
      </c>
      <c r="N73" s="45">
        <v>-47.5</v>
      </c>
      <c r="O73" s="45">
        <v>-47</v>
      </c>
      <c r="P73" s="45">
        <v>-44.9</v>
      </c>
      <c r="Q73" s="45">
        <v>-46.74</v>
      </c>
      <c r="R73" s="45">
        <v>-46.1</v>
      </c>
      <c r="S73" s="45">
        <v>-51.7</v>
      </c>
      <c r="T73" s="45">
        <v>-48.3</v>
      </c>
      <c r="U73" s="45">
        <v>-48.1</v>
      </c>
      <c r="V73" s="45">
        <v>-47.2</v>
      </c>
      <c r="W73" s="45">
        <v>-46.2</v>
      </c>
      <c r="X73" s="45">
        <v>-45.9</v>
      </c>
      <c r="Y73" s="45">
        <v>-31.6</v>
      </c>
      <c r="Z73" s="45">
        <v>-17.7</v>
      </c>
      <c r="AA73" s="45"/>
      <c r="AB73" s="45"/>
      <c r="AC73" s="45">
        <v>-23.8</v>
      </c>
      <c r="AD73" s="45">
        <v>-41.9</v>
      </c>
      <c r="AE73" s="45">
        <v>-45.9</v>
      </c>
      <c r="AF73" s="45">
        <v>-47.8</v>
      </c>
      <c r="AG73" s="51"/>
      <c r="AH73" s="47">
        <f t="shared" si="2"/>
        <v>-17.7</v>
      </c>
      <c r="AI73" s="48">
        <f t="shared" si="3"/>
        <v>-70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>
        <v>-510</v>
      </c>
      <c r="C75" s="64">
        <v>-567</v>
      </c>
      <c r="D75" s="64">
        <v>-532.1</v>
      </c>
      <c r="E75" s="64">
        <v>-587.5</v>
      </c>
      <c r="F75" s="64">
        <v>-538.20000000000005</v>
      </c>
      <c r="G75" s="64">
        <v>-538.20000000000005</v>
      </c>
      <c r="H75" s="64">
        <v>-508.2</v>
      </c>
      <c r="I75" s="64">
        <v>-519.4</v>
      </c>
      <c r="J75" s="64">
        <v>-565</v>
      </c>
      <c r="K75" s="64">
        <v>-557.9</v>
      </c>
      <c r="L75" s="64">
        <v>-557.29999999999995</v>
      </c>
      <c r="M75" s="64">
        <v>-516.6</v>
      </c>
      <c r="N75" s="64">
        <v>-578.1</v>
      </c>
      <c r="O75" s="64">
        <v>-561.29999999999995</v>
      </c>
      <c r="P75" s="64">
        <v>-588.20000000000005</v>
      </c>
      <c r="Q75" s="64">
        <v>-579.5</v>
      </c>
      <c r="R75" s="64">
        <v>-563</v>
      </c>
      <c r="S75" s="64">
        <v>-586</v>
      </c>
      <c r="T75" s="64">
        <v>-571</v>
      </c>
      <c r="U75" s="64">
        <v>-563</v>
      </c>
      <c r="V75" s="64">
        <v>-558</v>
      </c>
      <c r="W75" s="64">
        <v>-533</v>
      </c>
      <c r="X75" s="64">
        <v>-472</v>
      </c>
      <c r="Y75" s="64">
        <v>-502</v>
      </c>
      <c r="Z75" s="64">
        <v>-513.6</v>
      </c>
      <c r="AA75" s="64"/>
      <c r="AB75" s="64"/>
      <c r="AC75" s="64">
        <v>-528.29999999999995</v>
      </c>
      <c r="AD75" s="64">
        <v>-550.29999999999995</v>
      </c>
      <c r="AE75" s="64">
        <v>-574</v>
      </c>
      <c r="AF75" s="64">
        <v>-561</v>
      </c>
      <c r="AG75" s="74"/>
      <c r="AH75" s="47">
        <f t="shared" si="2"/>
        <v>-472</v>
      </c>
      <c r="AI75" s="48">
        <f t="shared" si="3"/>
        <v>-588.20000000000005</v>
      </c>
      <c r="AK75" s="50"/>
    </row>
    <row r="76" spans="1:40" x14ac:dyDescent="0.25">
      <c r="A76" s="53" t="s">
        <v>84</v>
      </c>
      <c r="B76" s="64"/>
      <c r="C76" s="64"/>
      <c r="D76" s="64"/>
      <c r="E76" s="64"/>
      <c r="F76" s="64"/>
      <c r="G76" s="64"/>
      <c r="H76" s="64"/>
      <c r="I76" s="75"/>
      <c r="J76" s="75"/>
      <c r="K76" s="75"/>
      <c r="L76" s="75"/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64"/>
      <c r="AF76" s="64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31">MAX(B77:AF77)</f>
        <v>0</v>
      </c>
      <c r="AI77" s="48">
        <f t="shared" ref="AI77:AI120" si="32">MIN(B77:AF77)</f>
        <v>0</v>
      </c>
      <c r="AK77" s="50"/>
    </row>
    <row r="78" spans="1:40" x14ac:dyDescent="0.25">
      <c r="A78" s="53" t="s">
        <v>86</v>
      </c>
      <c r="B78" s="45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31"/>
        <v>0</v>
      </c>
      <c r="AI78" s="48">
        <f t="shared" si="32"/>
        <v>0</v>
      </c>
      <c r="AK78" s="50"/>
    </row>
    <row r="79" spans="1:40" ht="15.75" thickBot="1" x14ac:dyDescent="0.3">
      <c r="A79" s="53" t="s">
        <v>87</v>
      </c>
      <c r="B79" s="45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31"/>
        <v>0</v>
      </c>
      <c r="AI79" s="48">
        <f t="shared" si="32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31"/>
        <v>0</v>
      </c>
      <c r="AI80" s="48">
        <f t="shared" si="32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31"/>
        <v>0</v>
      </c>
      <c r="AI81" s="48">
        <f t="shared" si="32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>
        <v>0</v>
      </c>
      <c r="N82" s="76">
        <v>0</v>
      </c>
      <c r="O82" s="76">
        <v>0</v>
      </c>
      <c r="P82" s="76">
        <v>0</v>
      </c>
      <c r="Q82" s="76">
        <v>0</v>
      </c>
      <c r="R82" s="76">
        <v>0</v>
      </c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31"/>
        <v>0</v>
      </c>
      <c r="AI82" s="48">
        <f t="shared" si="32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31"/>
        <v>0</v>
      </c>
      <c r="AI83" s="48">
        <f t="shared" si="32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" si="33">SUMIF(B73:B83,"&gt;0")</f>
        <v>0</v>
      </c>
      <c r="C84" s="60">
        <f t="shared" ref="C84:AD84" si="34">SUMIF(C73:C83,"&gt;0")</f>
        <v>0</v>
      </c>
      <c r="D84" s="60">
        <f t="shared" ref="D84:E84" si="35">SUMIF(D73:D83,"&gt;0")</f>
        <v>0</v>
      </c>
      <c r="E84" s="60">
        <f t="shared" si="35"/>
        <v>0</v>
      </c>
      <c r="F84" s="60">
        <f t="shared" ref="F84:G84" si="36">SUMIF(F73:F83,"&gt;0")</f>
        <v>0</v>
      </c>
      <c r="G84" s="60">
        <f t="shared" si="36"/>
        <v>0</v>
      </c>
      <c r="H84" s="60">
        <f t="shared" ref="H84" si="37">SUMIF(H73:H83,"&gt;0")</f>
        <v>0</v>
      </c>
      <c r="I84" s="60">
        <f t="shared" si="34"/>
        <v>0</v>
      </c>
      <c r="J84" s="60">
        <f t="shared" ref="J84:K84" si="38">SUMIF(J73:J83,"&gt;0")</f>
        <v>0</v>
      </c>
      <c r="K84" s="60">
        <f t="shared" si="38"/>
        <v>0</v>
      </c>
      <c r="L84" s="60">
        <f t="shared" ref="L84" si="39">SUMIF(L73:L83,"&gt;0")</f>
        <v>0</v>
      </c>
      <c r="M84" s="60">
        <f t="shared" si="34"/>
        <v>0</v>
      </c>
      <c r="N84" s="60">
        <f t="shared" si="34"/>
        <v>0</v>
      </c>
      <c r="O84" s="60">
        <f t="shared" si="34"/>
        <v>0</v>
      </c>
      <c r="P84" s="60">
        <f t="shared" si="34"/>
        <v>0</v>
      </c>
      <c r="Q84" s="60">
        <f t="shared" si="34"/>
        <v>0</v>
      </c>
      <c r="R84" s="60">
        <f t="shared" si="34"/>
        <v>0</v>
      </c>
      <c r="S84" s="60">
        <f t="shared" si="34"/>
        <v>0</v>
      </c>
      <c r="T84" s="60">
        <f t="shared" si="34"/>
        <v>0</v>
      </c>
      <c r="U84" s="60">
        <f t="shared" si="34"/>
        <v>0</v>
      </c>
      <c r="V84" s="60">
        <f t="shared" si="34"/>
        <v>0</v>
      </c>
      <c r="W84" s="60">
        <f t="shared" si="34"/>
        <v>0</v>
      </c>
      <c r="X84" s="60">
        <f t="shared" si="34"/>
        <v>0</v>
      </c>
      <c r="Y84" s="60">
        <f t="shared" si="34"/>
        <v>0</v>
      </c>
      <c r="Z84" s="60">
        <f t="shared" si="34"/>
        <v>0</v>
      </c>
      <c r="AA84" s="60">
        <f t="shared" si="34"/>
        <v>0</v>
      </c>
      <c r="AB84" s="60">
        <f t="shared" si="34"/>
        <v>0</v>
      </c>
      <c r="AC84" s="60">
        <f t="shared" si="34"/>
        <v>0</v>
      </c>
      <c r="AD84" s="60">
        <f t="shared" si="34"/>
        <v>0</v>
      </c>
      <c r="AE84" s="60">
        <f t="shared" ref="AE84:AF84" si="40">SUMIF(AE73:AE83,"&gt;0")</f>
        <v>0</v>
      </c>
      <c r="AF84" s="60">
        <f t="shared" si="40"/>
        <v>0</v>
      </c>
      <c r="AG84" s="87">
        <f>SUM(AG73:AG83)</f>
        <v>0</v>
      </c>
      <c r="AH84" s="47">
        <f t="shared" si="31"/>
        <v>0</v>
      </c>
      <c r="AI84" s="48">
        <f t="shared" si="32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31"/>
        <v>0</v>
      </c>
      <c r="AI85" s="48">
        <f t="shared" si="32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31"/>
        <v>0</v>
      </c>
      <c r="AI86" s="48">
        <f t="shared" si="32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31"/>
        <v>0</v>
      </c>
      <c r="AI87" s="48">
        <f t="shared" si="32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31"/>
        <v>0</v>
      </c>
      <c r="AI88" s="48">
        <f t="shared" si="32"/>
        <v>0</v>
      </c>
    </row>
    <row r="89" spans="1:40" ht="15.75" thickBot="1" x14ac:dyDescent="0.3">
      <c r="A89" s="73" t="s">
        <v>100</v>
      </c>
      <c r="B89" s="94">
        <f t="shared" ref="B89" si="41">B50+B54+B72+B68+B84+B88</f>
        <v>1682.94</v>
      </c>
      <c r="C89" s="94">
        <f t="shared" ref="C89:AG89" si="42">C50+C54+C72+C68+C84+C88</f>
        <v>1705.3400000000001</v>
      </c>
      <c r="D89" s="94">
        <f t="shared" ref="D89:E89" si="43">D50+D54+D72+D68+D84+D88</f>
        <v>1634.3400000000001</v>
      </c>
      <c r="E89" s="94">
        <f t="shared" si="43"/>
        <v>1670.44</v>
      </c>
      <c r="F89" s="94">
        <f t="shared" ref="F89:G89" si="44">F50+F54+F72+F68+F84+F88</f>
        <v>1681.64</v>
      </c>
      <c r="G89" s="94">
        <f t="shared" si="44"/>
        <v>1757.94</v>
      </c>
      <c r="H89" s="94">
        <f t="shared" ref="H89" si="45">H50+H54+H72+H68+H84+H88</f>
        <v>1756.94</v>
      </c>
      <c r="I89" s="94">
        <f t="shared" si="42"/>
        <v>1768.44</v>
      </c>
      <c r="J89" s="94">
        <f t="shared" ref="J89:K89" si="46">J50+J54+J72+J68+J84+J88</f>
        <v>1788.54</v>
      </c>
      <c r="K89" s="94">
        <f t="shared" si="46"/>
        <v>1857.1399999999999</v>
      </c>
      <c r="L89" s="94">
        <f t="shared" ref="L89" si="47">L50+L54+L72+L68+L84+L88</f>
        <v>1921.44</v>
      </c>
      <c r="M89" s="94">
        <f t="shared" si="42"/>
        <v>1960.44</v>
      </c>
      <c r="N89" s="94">
        <f t="shared" si="42"/>
        <v>2091.64</v>
      </c>
      <c r="O89" s="94">
        <f t="shared" si="42"/>
        <v>2064.34</v>
      </c>
      <c r="P89" s="94">
        <f t="shared" si="42"/>
        <v>2067.7400000000002</v>
      </c>
      <c r="Q89" s="94">
        <f t="shared" si="42"/>
        <v>1997.44</v>
      </c>
      <c r="R89" s="94">
        <f t="shared" si="42"/>
        <v>1969.44</v>
      </c>
      <c r="S89" s="94">
        <f t="shared" si="42"/>
        <v>1966.34</v>
      </c>
      <c r="T89" s="94">
        <f t="shared" si="42"/>
        <v>1974.94</v>
      </c>
      <c r="U89" s="94">
        <f t="shared" si="42"/>
        <v>1997.64</v>
      </c>
      <c r="V89" s="94">
        <f t="shared" si="42"/>
        <v>1963.8400000000001</v>
      </c>
      <c r="W89" s="94">
        <f t="shared" si="42"/>
        <v>2018.3400000000001</v>
      </c>
      <c r="X89" s="94">
        <f t="shared" si="42"/>
        <v>2129.2400000000002</v>
      </c>
      <c r="Y89" s="94">
        <f t="shared" si="42"/>
        <v>2170.44</v>
      </c>
      <c r="Z89" s="94">
        <f t="shared" si="42"/>
        <v>2078.64</v>
      </c>
      <c r="AA89" s="94">
        <f t="shared" si="42"/>
        <v>3.54</v>
      </c>
      <c r="AB89" s="94">
        <f t="shared" si="42"/>
        <v>3.54</v>
      </c>
      <c r="AC89" s="94">
        <f t="shared" si="42"/>
        <v>1827.8400000000001</v>
      </c>
      <c r="AD89" s="94">
        <f t="shared" si="42"/>
        <v>1810.14</v>
      </c>
      <c r="AE89" s="94">
        <f t="shared" ref="AE89:AF89" si="48">AE50+AE54+AE72+AE68+AE84+AE88</f>
        <v>1787.24</v>
      </c>
      <c r="AF89" s="94">
        <f t="shared" si="48"/>
        <v>1818.44</v>
      </c>
      <c r="AG89" s="61">
        <f t="shared" si="42"/>
        <v>2111.5500000000002</v>
      </c>
      <c r="AH89" s="47">
        <f t="shared" si="31"/>
        <v>2170.44</v>
      </c>
      <c r="AI89" s="48">
        <f t="shared" si="32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>
        <v>100</v>
      </c>
      <c r="AD90" s="96">
        <v>100</v>
      </c>
      <c r="AE90" s="96">
        <v>101</v>
      </c>
      <c r="AF90" s="96">
        <v>0</v>
      </c>
      <c r="AG90" s="87"/>
      <c r="AH90" s="47">
        <f t="shared" si="31"/>
        <v>101</v>
      </c>
      <c r="AI90" s="48">
        <f t="shared" si="32"/>
        <v>0</v>
      </c>
    </row>
    <row r="91" spans="1:40" ht="15.75" thickBot="1" x14ac:dyDescent="0.3">
      <c r="A91" s="73" t="s">
        <v>102</v>
      </c>
      <c r="B91" s="94">
        <f t="shared" ref="B91" si="49">B89+B90</f>
        <v>1682.94</v>
      </c>
      <c r="C91" s="94">
        <f t="shared" ref="C91:AD91" si="50">C89+C90</f>
        <v>1705.3400000000001</v>
      </c>
      <c r="D91" s="94">
        <f t="shared" ref="D91:E91" si="51">D89+D90</f>
        <v>1634.3400000000001</v>
      </c>
      <c r="E91" s="94">
        <f t="shared" si="51"/>
        <v>1670.44</v>
      </c>
      <c r="F91" s="94">
        <f t="shared" ref="F91:G91" si="52">F89+F90</f>
        <v>1681.64</v>
      </c>
      <c r="G91" s="94">
        <f t="shared" si="52"/>
        <v>1757.94</v>
      </c>
      <c r="H91" s="94">
        <f t="shared" ref="H91" si="53">H89+H90</f>
        <v>1756.94</v>
      </c>
      <c r="I91" s="94">
        <f t="shared" si="50"/>
        <v>1768.44</v>
      </c>
      <c r="J91" s="94">
        <f t="shared" ref="J91:K91" si="54">J89+J90</f>
        <v>1788.54</v>
      </c>
      <c r="K91" s="94">
        <f t="shared" si="54"/>
        <v>1857.1399999999999</v>
      </c>
      <c r="L91" s="94">
        <f t="shared" ref="L91" si="55">L89+L90</f>
        <v>1921.44</v>
      </c>
      <c r="M91" s="94">
        <f t="shared" si="50"/>
        <v>1960.44</v>
      </c>
      <c r="N91" s="94">
        <f t="shared" si="50"/>
        <v>2091.64</v>
      </c>
      <c r="O91" s="94">
        <f t="shared" si="50"/>
        <v>2064.34</v>
      </c>
      <c r="P91" s="94">
        <f t="shared" si="50"/>
        <v>2067.7400000000002</v>
      </c>
      <c r="Q91" s="94">
        <f t="shared" si="50"/>
        <v>1997.44</v>
      </c>
      <c r="R91" s="94">
        <f t="shared" si="50"/>
        <v>1969.44</v>
      </c>
      <c r="S91" s="94">
        <f t="shared" si="50"/>
        <v>1966.34</v>
      </c>
      <c r="T91" s="94">
        <f t="shared" si="50"/>
        <v>1974.94</v>
      </c>
      <c r="U91" s="94">
        <f t="shared" si="50"/>
        <v>1997.64</v>
      </c>
      <c r="V91" s="94">
        <f t="shared" si="50"/>
        <v>1963.8400000000001</v>
      </c>
      <c r="W91" s="94">
        <f t="shared" si="50"/>
        <v>2018.3400000000001</v>
      </c>
      <c r="X91" s="94">
        <f t="shared" si="50"/>
        <v>2129.2400000000002</v>
      </c>
      <c r="Y91" s="94">
        <f t="shared" si="50"/>
        <v>2170.44</v>
      </c>
      <c r="Z91" s="94">
        <f t="shared" si="50"/>
        <v>2078.64</v>
      </c>
      <c r="AA91" s="94">
        <f t="shared" si="50"/>
        <v>3.54</v>
      </c>
      <c r="AB91" s="94">
        <f t="shared" si="50"/>
        <v>3.54</v>
      </c>
      <c r="AC91" s="94">
        <f t="shared" si="50"/>
        <v>1927.8400000000001</v>
      </c>
      <c r="AD91" s="94">
        <f t="shared" si="50"/>
        <v>1910.14</v>
      </c>
      <c r="AE91" s="94">
        <f t="shared" ref="AE91:AF91" si="56">AE89+AE90</f>
        <v>1888.24</v>
      </c>
      <c r="AF91" s="94">
        <f t="shared" si="56"/>
        <v>1818.44</v>
      </c>
      <c r="AG91" s="87">
        <f>AG88+AG84+AG72+AG68+AG50+AG90</f>
        <v>1573.45</v>
      </c>
      <c r="AH91" s="47">
        <f t="shared" si="31"/>
        <v>2170.44</v>
      </c>
      <c r="AI91" s="48">
        <f t="shared" si="32"/>
        <v>3.54</v>
      </c>
    </row>
    <row r="92" spans="1:40" ht="15.75" thickBot="1" x14ac:dyDescent="0.3">
      <c r="A92" s="73" t="s">
        <v>103</v>
      </c>
      <c r="B92" s="94">
        <f t="shared" ref="B92" si="57">B91-(-B99)</f>
        <v>1172.94</v>
      </c>
      <c r="C92" s="94">
        <f t="shared" ref="C92:AD92" si="58">C91-(-C99)</f>
        <v>1138.3400000000001</v>
      </c>
      <c r="D92" s="94">
        <f t="shared" ref="D92:E92" si="59">D91-(-D99)</f>
        <v>1102.2400000000002</v>
      </c>
      <c r="E92" s="94">
        <f t="shared" si="59"/>
        <v>1082.94</v>
      </c>
      <c r="F92" s="94">
        <f t="shared" ref="F92:G92" si="60">F91-(-F99)</f>
        <v>1143.44</v>
      </c>
      <c r="G92" s="94">
        <f t="shared" si="60"/>
        <v>1219.74</v>
      </c>
      <c r="H92" s="94">
        <f t="shared" ref="H92" si="61">H91-(-H99)</f>
        <v>1248.74</v>
      </c>
      <c r="I92" s="94">
        <f t="shared" si="58"/>
        <v>1249.04</v>
      </c>
      <c r="J92" s="94">
        <f t="shared" ref="J92:K92" si="62">J91-(-J99)</f>
        <v>1223.54</v>
      </c>
      <c r="K92" s="94">
        <f t="shared" si="62"/>
        <v>1299.2399999999998</v>
      </c>
      <c r="L92" s="94">
        <f t="shared" ref="L92" si="63">L91-(-L99)</f>
        <v>1364.14</v>
      </c>
      <c r="M92" s="94">
        <f t="shared" si="58"/>
        <v>1443.8400000000001</v>
      </c>
      <c r="N92" s="94">
        <f t="shared" si="58"/>
        <v>1513.54</v>
      </c>
      <c r="O92" s="94">
        <f t="shared" si="58"/>
        <v>1503.0400000000002</v>
      </c>
      <c r="P92" s="94">
        <f t="shared" si="58"/>
        <v>1479.5400000000002</v>
      </c>
      <c r="Q92" s="94">
        <f t="shared" si="58"/>
        <v>1417.94</v>
      </c>
      <c r="R92" s="94">
        <f t="shared" si="58"/>
        <v>1406.44</v>
      </c>
      <c r="S92" s="94">
        <f t="shared" si="58"/>
        <v>1380.34</v>
      </c>
      <c r="T92" s="94">
        <f t="shared" si="58"/>
        <v>1403.94</v>
      </c>
      <c r="U92" s="94">
        <f t="shared" si="58"/>
        <v>1434.64</v>
      </c>
      <c r="V92" s="94">
        <f t="shared" si="58"/>
        <v>1405.8400000000001</v>
      </c>
      <c r="W92" s="94">
        <f t="shared" si="58"/>
        <v>1485.3400000000001</v>
      </c>
      <c r="X92" s="94">
        <f t="shared" si="58"/>
        <v>1657.2400000000002</v>
      </c>
      <c r="Y92" s="94">
        <f t="shared" si="58"/>
        <v>1668.44</v>
      </c>
      <c r="Z92" s="94">
        <f t="shared" si="58"/>
        <v>1565.04</v>
      </c>
      <c r="AA92" s="94">
        <f t="shared" si="58"/>
        <v>3.54</v>
      </c>
      <c r="AB92" s="94">
        <f t="shared" si="58"/>
        <v>3.54</v>
      </c>
      <c r="AC92" s="94">
        <f t="shared" si="58"/>
        <v>1399.5400000000002</v>
      </c>
      <c r="AD92" s="94">
        <f t="shared" si="58"/>
        <v>1359.8400000000001</v>
      </c>
      <c r="AE92" s="94">
        <f t="shared" ref="AE92:AF92" si="64">AE91-(-AE99)</f>
        <v>1314.24</v>
      </c>
      <c r="AF92" s="94">
        <f t="shared" si="64"/>
        <v>1257.44</v>
      </c>
      <c r="AG92" s="87"/>
      <c r="AH92" s="47">
        <f t="shared" si="31"/>
        <v>1668.44</v>
      </c>
      <c r="AI92" s="48">
        <f t="shared" si="32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31"/>
        <v>0</v>
      </c>
      <c r="AI93" s="48">
        <f t="shared" si="32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31"/>
        <v>0</v>
      </c>
      <c r="AI94" s="48">
        <f t="shared" si="32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31"/>
        <v>0</v>
      </c>
      <c r="AI95" s="48">
        <f t="shared" si="32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31"/>
        <v>0</v>
      </c>
      <c r="AI96" s="48">
        <f t="shared" si="32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31"/>
        <v>0</v>
      </c>
      <c r="AI97" s="48">
        <f t="shared" si="32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31"/>
        <v>0</v>
      </c>
      <c r="AI98" s="48">
        <f t="shared" si="32"/>
        <v>0</v>
      </c>
    </row>
    <row r="99" spans="1:37" ht="15.75" thickBot="1" x14ac:dyDescent="0.3">
      <c r="A99" s="98" t="s">
        <v>107</v>
      </c>
      <c r="B99" s="60">
        <f t="shared" ref="B99" si="65">B75</f>
        <v>-510</v>
      </c>
      <c r="C99" s="60">
        <f t="shared" ref="C99:AD99" si="66">C75</f>
        <v>-567</v>
      </c>
      <c r="D99" s="60">
        <f t="shared" ref="D99:E99" si="67">D75</f>
        <v>-532.1</v>
      </c>
      <c r="E99" s="60">
        <f t="shared" si="67"/>
        <v>-587.5</v>
      </c>
      <c r="F99" s="60">
        <f t="shared" ref="F99:G99" si="68">F75</f>
        <v>-538.20000000000005</v>
      </c>
      <c r="G99" s="60">
        <f t="shared" si="68"/>
        <v>-538.20000000000005</v>
      </c>
      <c r="H99" s="60">
        <f t="shared" ref="H99" si="69">H75</f>
        <v>-508.2</v>
      </c>
      <c r="I99" s="60">
        <f t="shared" si="66"/>
        <v>-519.4</v>
      </c>
      <c r="J99" s="60">
        <f t="shared" ref="J99:K99" si="70">J75</f>
        <v>-565</v>
      </c>
      <c r="K99" s="60">
        <f t="shared" si="70"/>
        <v>-557.9</v>
      </c>
      <c r="L99" s="60">
        <f t="shared" ref="L99" si="71">L75</f>
        <v>-557.29999999999995</v>
      </c>
      <c r="M99" s="60">
        <f t="shared" si="66"/>
        <v>-516.6</v>
      </c>
      <c r="N99" s="60">
        <f t="shared" si="66"/>
        <v>-578.1</v>
      </c>
      <c r="O99" s="60">
        <f t="shared" si="66"/>
        <v>-561.29999999999995</v>
      </c>
      <c r="P99" s="60">
        <f t="shared" si="66"/>
        <v>-588.20000000000005</v>
      </c>
      <c r="Q99" s="60">
        <f t="shared" si="66"/>
        <v>-579.5</v>
      </c>
      <c r="R99" s="60">
        <f t="shared" si="66"/>
        <v>-563</v>
      </c>
      <c r="S99" s="60">
        <f t="shared" si="66"/>
        <v>-586</v>
      </c>
      <c r="T99" s="60">
        <f t="shared" si="66"/>
        <v>-571</v>
      </c>
      <c r="U99" s="60">
        <f t="shared" si="66"/>
        <v>-563</v>
      </c>
      <c r="V99" s="60">
        <f t="shared" si="66"/>
        <v>-558</v>
      </c>
      <c r="W99" s="60">
        <f t="shared" si="66"/>
        <v>-533</v>
      </c>
      <c r="X99" s="60">
        <f t="shared" si="66"/>
        <v>-472</v>
      </c>
      <c r="Y99" s="60">
        <f t="shared" si="66"/>
        <v>-502</v>
      </c>
      <c r="Z99" s="60">
        <f t="shared" si="66"/>
        <v>-513.6</v>
      </c>
      <c r="AA99" s="60">
        <f t="shared" si="66"/>
        <v>0</v>
      </c>
      <c r="AB99" s="60">
        <f t="shared" si="66"/>
        <v>0</v>
      </c>
      <c r="AC99" s="60">
        <f t="shared" si="66"/>
        <v>-528.29999999999995</v>
      </c>
      <c r="AD99" s="60">
        <f t="shared" si="66"/>
        <v>-550.29999999999995</v>
      </c>
      <c r="AE99" s="60">
        <f t="shared" ref="AE99:AF99" si="72">AE75</f>
        <v>-574</v>
      </c>
      <c r="AF99" s="60">
        <f t="shared" si="72"/>
        <v>-561</v>
      </c>
      <c r="AG99" s="87"/>
      <c r="AH99" s="47">
        <f t="shared" si="31"/>
        <v>0</v>
      </c>
      <c r="AI99" s="48">
        <f t="shared" si="32"/>
        <v>-588.20000000000005</v>
      </c>
      <c r="AK99" s="50"/>
    </row>
    <row r="100" spans="1:37" ht="15.75" thickBot="1" x14ac:dyDescent="0.3">
      <c r="A100" s="73" t="s">
        <v>108</v>
      </c>
      <c r="B100" s="60">
        <f t="shared" ref="B100" si="73">B84-B99</f>
        <v>510</v>
      </c>
      <c r="C100" s="60">
        <f t="shared" ref="C100:AD100" si="74">C84-C99</f>
        <v>567</v>
      </c>
      <c r="D100" s="60">
        <f t="shared" ref="D100:E100" si="75">D84-D99</f>
        <v>532.1</v>
      </c>
      <c r="E100" s="60">
        <f t="shared" si="75"/>
        <v>587.5</v>
      </c>
      <c r="F100" s="60">
        <f t="shared" ref="F100:G100" si="76">F84-F99</f>
        <v>538.20000000000005</v>
      </c>
      <c r="G100" s="60">
        <f t="shared" si="76"/>
        <v>538.20000000000005</v>
      </c>
      <c r="H100" s="60">
        <f t="shared" ref="H100" si="77">H84-H99</f>
        <v>508.2</v>
      </c>
      <c r="I100" s="60">
        <f t="shared" si="74"/>
        <v>519.4</v>
      </c>
      <c r="J100" s="60">
        <f t="shared" ref="J100:K100" si="78">J84-J99</f>
        <v>565</v>
      </c>
      <c r="K100" s="60">
        <f t="shared" si="78"/>
        <v>557.9</v>
      </c>
      <c r="L100" s="60">
        <f t="shared" ref="L100" si="79">L84-L99</f>
        <v>557.29999999999995</v>
      </c>
      <c r="M100" s="60">
        <f t="shared" si="74"/>
        <v>516.6</v>
      </c>
      <c r="N100" s="60">
        <f t="shared" si="74"/>
        <v>578.1</v>
      </c>
      <c r="O100" s="60">
        <f t="shared" si="74"/>
        <v>561.29999999999995</v>
      </c>
      <c r="P100" s="60">
        <f t="shared" si="74"/>
        <v>588.20000000000005</v>
      </c>
      <c r="Q100" s="60">
        <f t="shared" si="74"/>
        <v>579.5</v>
      </c>
      <c r="R100" s="60">
        <f t="shared" si="74"/>
        <v>563</v>
      </c>
      <c r="S100" s="60">
        <f t="shared" si="74"/>
        <v>586</v>
      </c>
      <c r="T100" s="60">
        <f t="shared" si="74"/>
        <v>571</v>
      </c>
      <c r="U100" s="60">
        <f t="shared" si="74"/>
        <v>563</v>
      </c>
      <c r="V100" s="60">
        <f t="shared" si="74"/>
        <v>558</v>
      </c>
      <c r="W100" s="60">
        <f t="shared" si="74"/>
        <v>533</v>
      </c>
      <c r="X100" s="60">
        <f t="shared" si="74"/>
        <v>472</v>
      </c>
      <c r="Y100" s="60">
        <f t="shared" si="74"/>
        <v>502</v>
      </c>
      <c r="Z100" s="60">
        <f t="shared" si="74"/>
        <v>513.6</v>
      </c>
      <c r="AA100" s="60">
        <f t="shared" si="74"/>
        <v>0</v>
      </c>
      <c r="AB100" s="60">
        <f t="shared" si="74"/>
        <v>0</v>
      </c>
      <c r="AC100" s="60">
        <f t="shared" si="74"/>
        <v>528.29999999999995</v>
      </c>
      <c r="AD100" s="60">
        <f t="shared" si="74"/>
        <v>550.29999999999995</v>
      </c>
      <c r="AE100" s="60">
        <f t="shared" ref="AE100:AF100" si="80">AE84-AE99</f>
        <v>574</v>
      </c>
      <c r="AF100" s="60">
        <f t="shared" si="80"/>
        <v>561</v>
      </c>
      <c r="AG100" s="87"/>
      <c r="AH100" s="47">
        <f t="shared" si="31"/>
        <v>588.20000000000005</v>
      </c>
      <c r="AI100" s="48">
        <f t="shared" si="32"/>
        <v>0</v>
      </c>
    </row>
    <row r="101" spans="1:37" x14ac:dyDescent="0.25">
      <c r="A101" s="99" t="s">
        <v>109</v>
      </c>
      <c r="B101" s="100">
        <v>50.01</v>
      </c>
      <c r="C101" s="100">
        <v>49.96</v>
      </c>
      <c r="D101" s="100">
        <v>50.01</v>
      </c>
      <c r="E101" s="100">
        <v>49.97</v>
      </c>
      <c r="F101" s="100">
        <v>49.97</v>
      </c>
      <c r="G101" s="100">
        <v>49.97</v>
      </c>
      <c r="H101" s="100">
        <v>49.96</v>
      </c>
      <c r="I101" s="100">
        <v>49.96</v>
      </c>
      <c r="J101" s="100">
        <v>49.91</v>
      </c>
      <c r="K101" s="100">
        <v>49.99</v>
      </c>
      <c r="L101" s="100">
        <v>50.06</v>
      </c>
      <c r="M101" s="100">
        <v>49.779000000000003</v>
      </c>
      <c r="N101" s="100">
        <v>50.091999999999999</v>
      </c>
      <c r="O101" s="100">
        <v>50.014000000000003</v>
      </c>
      <c r="P101" s="100">
        <v>49.972999999999999</v>
      </c>
      <c r="Q101" s="100">
        <v>50.078000000000003</v>
      </c>
      <c r="R101" s="100">
        <v>49.999000000000002</v>
      </c>
      <c r="S101" s="100">
        <v>49.947000000000003</v>
      </c>
      <c r="T101" s="100">
        <v>49.877000000000002</v>
      </c>
      <c r="U101" s="100">
        <v>50.046999999999997</v>
      </c>
      <c r="V101" s="100">
        <v>49.935000000000002</v>
      </c>
      <c r="W101" s="100">
        <v>49.805</v>
      </c>
      <c r="X101" s="100">
        <v>49.780999999999999</v>
      </c>
      <c r="Y101" s="100">
        <v>50.003</v>
      </c>
      <c r="Z101" s="100"/>
      <c r="AA101" s="100"/>
      <c r="AB101" s="100"/>
      <c r="AC101" s="100">
        <v>50.03</v>
      </c>
      <c r="AD101" s="100">
        <v>50.024999999999999</v>
      </c>
      <c r="AE101" s="100">
        <v>50</v>
      </c>
      <c r="AF101" s="100">
        <v>49.94</v>
      </c>
      <c r="AG101" s="101"/>
      <c r="AH101" s="47">
        <f t="shared" si="31"/>
        <v>50.091999999999999</v>
      </c>
      <c r="AI101" s="48">
        <f t="shared" si="32"/>
        <v>49.779000000000003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31"/>
        <v>0</v>
      </c>
      <c r="AI102" s="48">
        <f t="shared" si="32"/>
        <v>0</v>
      </c>
    </row>
    <row r="103" spans="1:37" x14ac:dyDescent="0.25">
      <c r="A103" s="102" t="s">
        <v>111</v>
      </c>
      <c r="B103" s="64">
        <v>130.6</v>
      </c>
      <c r="C103" s="64">
        <v>128</v>
      </c>
      <c r="D103" s="64">
        <v>128</v>
      </c>
      <c r="E103" s="64">
        <v>128</v>
      </c>
      <c r="F103" s="64">
        <v>128</v>
      </c>
      <c r="G103" s="64">
        <v>128</v>
      </c>
      <c r="H103" s="64">
        <v>128</v>
      </c>
      <c r="I103" s="64">
        <v>128</v>
      </c>
      <c r="J103" s="64">
        <v>128</v>
      </c>
      <c r="K103" s="64">
        <v>126.4</v>
      </c>
      <c r="L103" s="64">
        <v>126.4</v>
      </c>
      <c r="M103" s="64">
        <v>124.4</v>
      </c>
      <c r="N103" s="64">
        <v>123.6</v>
      </c>
      <c r="O103" s="64">
        <v>124.2</v>
      </c>
      <c r="P103" s="64">
        <v>125.6</v>
      </c>
      <c r="Q103" s="64">
        <v>125.9</v>
      </c>
      <c r="R103" s="64">
        <v>127.3</v>
      </c>
      <c r="S103" s="64">
        <v>127</v>
      </c>
      <c r="T103" s="64">
        <v>127.3</v>
      </c>
      <c r="U103" s="64">
        <v>126.8</v>
      </c>
      <c r="V103" s="64">
        <v>127.4</v>
      </c>
      <c r="W103" s="64">
        <v>126.5</v>
      </c>
      <c r="X103" s="64">
        <v>127.8</v>
      </c>
      <c r="Y103" s="64">
        <v>129</v>
      </c>
      <c r="Z103" s="64"/>
      <c r="AA103" s="64"/>
      <c r="AB103" s="64"/>
      <c r="AC103" s="64">
        <v>128.5</v>
      </c>
      <c r="AD103" s="64">
        <v>129</v>
      </c>
      <c r="AE103" s="64">
        <v>129.1</v>
      </c>
      <c r="AF103" s="64">
        <v>129.19999999999999</v>
      </c>
      <c r="AG103" s="103"/>
      <c r="AH103" s="47">
        <f t="shared" si="31"/>
        <v>130.6</v>
      </c>
      <c r="AI103" s="48">
        <f t="shared" si="32"/>
        <v>123.6</v>
      </c>
    </row>
    <row r="104" spans="1:37" x14ac:dyDescent="0.25">
      <c r="A104" s="102" t="s">
        <v>112</v>
      </c>
      <c r="B104" s="64">
        <v>129</v>
      </c>
      <c r="C104" s="64">
        <v>130</v>
      </c>
      <c r="D104" s="64">
        <v>130</v>
      </c>
      <c r="E104" s="64">
        <v>130</v>
      </c>
      <c r="F104" s="64">
        <v>130</v>
      </c>
      <c r="G104" s="64">
        <v>130</v>
      </c>
      <c r="H104" s="64">
        <v>130</v>
      </c>
      <c r="I104" s="64">
        <v>130</v>
      </c>
      <c r="J104" s="64">
        <v>130</v>
      </c>
      <c r="K104" s="64">
        <v>129.9</v>
      </c>
      <c r="L104" s="64">
        <v>129.9</v>
      </c>
      <c r="M104" s="64">
        <v>129.1</v>
      </c>
      <c r="N104" s="64">
        <v>129.1</v>
      </c>
      <c r="O104" s="64">
        <v>128.1</v>
      </c>
      <c r="P104" s="64">
        <v>126.9</v>
      </c>
      <c r="Q104" s="64">
        <v>129.69999999999999</v>
      </c>
      <c r="R104" s="64">
        <v>130.69999999999999</v>
      </c>
      <c r="S104" s="64">
        <v>127.7</v>
      </c>
      <c r="T104" s="64">
        <v>127.7</v>
      </c>
      <c r="U104" s="64">
        <v>127.9</v>
      </c>
      <c r="V104" s="64">
        <v>128.9</v>
      </c>
      <c r="W104" s="64">
        <v>126.9</v>
      </c>
      <c r="X104" s="64">
        <v>126.5</v>
      </c>
      <c r="Y104" s="64">
        <v>131.1</v>
      </c>
      <c r="Z104" s="64"/>
      <c r="AA104" s="64"/>
      <c r="AB104" s="64"/>
      <c r="AC104" s="64">
        <v>130.1</v>
      </c>
      <c r="AD104" s="64">
        <v>130</v>
      </c>
      <c r="AE104" s="64">
        <v>128.9</v>
      </c>
      <c r="AF104" s="64">
        <v>129.69999999999999</v>
      </c>
      <c r="AG104" s="103"/>
      <c r="AH104" s="47">
        <f t="shared" si="31"/>
        <v>131.1</v>
      </c>
      <c r="AI104" s="48">
        <f t="shared" si="32"/>
        <v>126.5</v>
      </c>
    </row>
    <row r="105" spans="1:37" x14ac:dyDescent="0.25">
      <c r="A105" s="104" t="s">
        <v>113</v>
      </c>
      <c r="B105" s="64">
        <v>131</v>
      </c>
      <c r="C105" s="64">
        <v>132</v>
      </c>
      <c r="D105" s="64">
        <v>132</v>
      </c>
      <c r="E105" s="64">
        <v>132</v>
      </c>
      <c r="F105" s="64">
        <v>132</v>
      </c>
      <c r="G105" s="64">
        <v>132</v>
      </c>
      <c r="H105" s="64">
        <v>132</v>
      </c>
      <c r="I105" s="64">
        <v>132</v>
      </c>
      <c r="J105" s="64">
        <v>132</v>
      </c>
      <c r="K105" s="64">
        <v>133.5</v>
      </c>
      <c r="L105" s="64">
        <v>133.5</v>
      </c>
      <c r="M105" s="64">
        <v>131.30000000000001</v>
      </c>
      <c r="N105" s="64">
        <v>131.30000000000001</v>
      </c>
      <c r="O105" s="64">
        <v>131.30000000000001</v>
      </c>
      <c r="P105" s="64">
        <v>129.69999999999999</v>
      </c>
      <c r="Q105" s="64">
        <v>132</v>
      </c>
      <c r="R105" s="64">
        <v>134.1</v>
      </c>
      <c r="S105" s="64">
        <v>130.4</v>
      </c>
      <c r="T105" s="64">
        <v>130</v>
      </c>
      <c r="U105" s="64">
        <v>130.19999999999999</v>
      </c>
      <c r="V105" s="64">
        <v>131.19999999999999</v>
      </c>
      <c r="W105" s="64">
        <v>129.5</v>
      </c>
      <c r="X105" s="64">
        <v>130</v>
      </c>
      <c r="Y105" s="64">
        <v>133.5</v>
      </c>
      <c r="Z105" s="64"/>
      <c r="AA105" s="64"/>
      <c r="AB105" s="64"/>
      <c r="AC105" s="64">
        <v>133.80000000000001</v>
      </c>
      <c r="AD105" s="64">
        <v>132.80000000000001</v>
      </c>
      <c r="AE105" s="64">
        <v>132.69999999999999</v>
      </c>
      <c r="AF105" s="64">
        <v>133.80000000000001</v>
      </c>
      <c r="AG105" s="103"/>
      <c r="AH105" s="47">
        <f t="shared" si="31"/>
        <v>134.1</v>
      </c>
      <c r="AI105" s="48">
        <f t="shared" si="32"/>
        <v>129.5</v>
      </c>
    </row>
    <row r="106" spans="1:37" x14ac:dyDescent="0.25">
      <c r="A106" s="104" t="s">
        <v>114</v>
      </c>
      <c r="B106" s="105">
        <v>133</v>
      </c>
      <c r="C106" s="105">
        <v>132.54</v>
      </c>
      <c r="D106" s="105">
        <v>132.54</v>
      </c>
      <c r="E106" s="105">
        <v>132.54</v>
      </c>
      <c r="F106" s="105">
        <v>132.54</v>
      </c>
      <c r="G106" s="105">
        <v>132.54</v>
      </c>
      <c r="H106" s="105">
        <v>132.54</v>
      </c>
      <c r="I106" s="105">
        <v>132.54</v>
      </c>
      <c r="J106" s="105">
        <v>132.54</v>
      </c>
      <c r="K106" s="105">
        <v>132.5</v>
      </c>
      <c r="L106" s="105">
        <v>132.5</v>
      </c>
      <c r="M106" s="105">
        <v>130.1</v>
      </c>
      <c r="N106" s="105">
        <v>130.1</v>
      </c>
      <c r="O106" s="105">
        <v>129.6</v>
      </c>
      <c r="P106" s="105">
        <v>131.5</v>
      </c>
      <c r="Q106" s="105">
        <v>135</v>
      </c>
      <c r="R106" s="105">
        <v>133.5</v>
      </c>
      <c r="S106" s="105">
        <v>134.5</v>
      </c>
      <c r="T106" s="105">
        <v>134.80000000000001</v>
      </c>
      <c r="U106" s="105">
        <v>134.9</v>
      </c>
      <c r="V106" s="105">
        <v>133.30000000000001</v>
      </c>
      <c r="W106" s="105">
        <v>132.4</v>
      </c>
      <c r="X106" s="105">
        <v>131.69999999999999</v>
      </c>
      <c r="Y106" s="105">
        <v>134.9</v>
      </c>
      <c r="Z106" s="105"/>
      <c r="AA106" s="105"/>
      <c r="AB106" s="105"/>
      <c r="AC106" s="105">
        <v>134.6</v>
      </c>
      <c r="AD106" s="105">
        <v>133.6</v>
      </c>
      <c r="AE106" s="105">
        <v>134</v>
      </c>
      <c r="AF106" s="105">
        <v>128.69999999999999</v>
      </c>
      <c r="AG106" s="106"/>
      <c r="AH106" s="47">
        <f t="shared" si="31"/>
        <v>135</v>
      </c>
      <c r="AI106" s="48">
        <f t="shared" si="32"/>
        <v>128.69999999999999</v>
      </c>
    </row>
    <row r="107" spans="1:37" x14ac:dyDescent="0.25">
      <c r="A107" s="102" t="s">
        <v>115</v>
      </c>
      <c r="B107" s="64">
        <v>136</v>
      </c>
      <c r="C107" s="64">
        <v>132</v>
      </c>
      <c r="D107" s="64">
        <v>132</v>
      </c>
      <c r="E107" s="64">
        <v>132</v>
      </c>
      <c r="F107" s="64">
        <v>132</v>
      </c>
      <c r="G107" s="64">
        <v>132</v>
      </c>
      <c r="H107" s="64">
        <v>132</v>
      </c>
      <c r="I107" s="64">
        <v>132</v>
      </c>
      <c r="J107" s="64">
        <v>132</v>
      </c>
      <c r="K107" s="64">
        <v>129.4</v>
      </c>
      <c r="L107" s="64">
        <v>129.4</v>
      </c>
      <c r="M107" s="64">
        <v>131.9</v>
      </c>
      <c r="N107" s="64">
        <v>131.9</v>
      </c>
      <c r="O107" s="64">
        <v>127.7</v>
      </c>
      <c r="P107" s="64">
        <v>131.5</v>
      </c>
      <c r="Q107" s="64">
        <v>138</v>
      </c>
      <c r="R107" s="64">
        <v>130</v>
      </c>
      <c r="S107" s="64">
        <v>129</v>
      </c>
      <c r="T107" s="64">
        <v>137.30000000000001</v>
      </c>
      <c r="U107" s="64">
        <v>136.69999999999999</v>
      </c>
      <c r="V107" s="64">
        <v>133.69999999999999</v>
      </c>
      <c r="W107" s="64">
        <v>132.19999999999999</v>
      </c>
      <c r="X107" s="64">
        <v>129.30000000000001</v>
      </c>
      <c r="Y107" s="64">
        <v>135.19999999999999</v>
      </c>
      <c r="Z107" s="64"/>
      <c r="AA107" s="64"/>
      <c r="AB107" s="64"/>
      <c r="AC107" s="64">
        <v>134.9</v>
      </c>
      <c r="AD107" s="64">
        <v>134</v>
      </c>
      <c r="AE107" s="64">
        <v>135.4</v>
      </c>
      <c r="AF107" s="64">
        <v>126.6</v>
      </c>
      <c r="AG107" s="103"/>
      <c r="AH107" s="47">
        <f t="shared" si="31"/>
        <v>138</v>
      </c>
      <c r="AI107" s="48">
        <f t="shared" si="32"/>
        <v>126.6</v>
      </c>
    </row>
    <row r="108" spans="1:37" ht="15.75" thickBot="1" x14ac:dyDescent="0.3">
      <c r="A108" s="102" t="s">
        <v>116</v>
      </c>
      <c r="B108" s="91">
        <v>65.5</v>
      </c>
      <c r="C108" s="91">
        <v>65.2</v>
      </c>
      <c r="D108" s="91">
        <v>65.2</v>
      </c>
      <c r="E108" s="91">
        <v>65.2</v>
      </c>
      <c r="F108" s="91">
        <v>65.2</v>
      </c>
      <c r="G108" s="91">
        <v>65.2</v>
      </c>
      <c r="H108" s="91">
        <v>65.2</v>
      </c>
      <c r="I108" s="91">
        <v>65.2</v>
      </c>
      <c r="J108" s="91">
        <v>65.2</v>
      </c>
      <c r="K108" s="91">
        <v>63.7</v>
      </c>
      <c r="L108" s="91">
        <v>63.7</v>
      </c>
      <c r="M108" s="91">
        <v>62.8</v>
      </c>
      <c r="N108" s="91">
        <v>62.8</v>
      </c>
      <c r="O108" s="91">
        <v>62.5</v>
      </c>
      <c r="P108" s="91">
        <v>63.4</v>
      </c>
      <c r="Q108" s="91">
        <v>63.6</v>
      </c>
      <c r="R108" s="91">
        <v>64.2</v>
      </c>
      <c r="S108" s="91">
        <v>64.099999999999994</v>
      </c>
      <c r="T108" s="91">
        <v>64.2</v>
      </c>
      <c r="U108" s="91">
        <v>64.099999999999994</v>
      </c>
      <c r="V108" s="91">
        <v>64.2</v>
      </c>
      <c r="W108" s="91">
        <v>63.7</v>
      </c>
      <c r="X108" s="91">
        <v>64.400000000000006</v>
      </c>
      <c r="Y108" s="91">
        <v>65</v>
      </c>
      <c r="Z108" s="91"/>
      <c r="AA108" s="91"/>
      <c r="AB108" s="91"/>
      <c r="AC108" s="91">
        <v>65</v>
      </c>
      <c r="AD108" s="91">
        <v>64.3</v>
      </c>
      <c r="AE108" s="91">
        <v>64.8</v>
      </c>
      <c r="AF108" s="91">
        <v>64.8</v>
      </c>
      <c r="AG108" s="107"/>
      <c r="AH108" s="47">
        <f t="shared" si="31"/>
        <v>65.5</v>
      </c>
      <c r="AI108" s="48">
        <f t="shared" si="32"/>
        <v>62.5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31"/>
        <v>0</v>
      </c>
      <c r="AI109" s="48">
        <f t="shared" si="32"/>
        <v>0</v>
      </c>
    </row>
    <row r="110" spans="1:37" ht="15.75" thickBot="1" x14ac:dyDescent="0.3">
      <c r="A110" s="109" t="s">
        <v>118</v>
      </c>
      <c r="B110" s="110">
        <f t="shared" ref="B110" si="81">SUM(B20,B26,B29:B30,B58,B60:B61,B63,B65,B111:B115,B138,B144,B150,B159,B161,B173,B180,B183:B184,B191,B193,B195,B199:B201,B203:B205,B210,B216:B217,B219:B221,B229,B234)</f>
        <v>32.700000000000017</v>
      </c>
      <c r="C110" s="110">
        <f t="shared" ref="C110:O110" si="82">SUM(C20,C26,C29:C30,C58,C60:C61,C63,C65,C111:C115,C138,C144,C150,C159,C161,C173,C180,C183:C184,C191,C193,C195,C199:C201,C203:C205,C210,C216:C217,C219:C221,C229,C234)</f>
        <v>40.639999999999986</v>
      </c>
      <c r="D110" s="110">
        <f t="shared" ref="D110:E110" si="83">SUM(D20,D26,D29:D30,D58,D60:D61,D63,D65,D111:D115,D138,D144,D150,D159,D161,D173,D180,D183:D184,D191,D193,D195,D199:D201,D203:D205,D210,D216:D217,D219:D221,D229,D234)</f>
        <v>100.24</v>
      </c>
      <c r="E110" s="110">
        <f t="shared" si="83"/>
        <v>43.54000000000002</v>
      </c>
      <c r="F110" s="110">
        <f t="shared" ref="F110:G110" si="84">SUM(F20,F26,F29:F30,F58,F60:F61,F63,F65,F111:F115,F138,F144,F150,F159,F161,F173,F180,F183:F184,F191,F193,F195,F199:F201,F203:F205,F210,F216:F217,F219:F221,F229,F234)</f>
        <v>58.940000000000012</v>
      </c>
      <c r="G110" s="110">
        <f t="shared" si="84"/>
        <v>58.940000000000012</v>
      </c>
      <c r="H110" s="110">
        <f t="shared" ref="H110" si="85">SUM(H20,H26,H29:H30,H58,H60:H61,H63,H65,H111:H115,H138,H144,H150,H159,H161,H173,H180,H183:H184,H191,H193,H195,H199:H201,H203:H205,H210,H216:H217,H219:H221,H229,H234)</f>
        <v>63.740000000000023</v>
      </c>
      <c r="I110" s="110">
        <f t="shared" si="82"/>
        <v>63.740000000000023</v>
      </c>
      <c r="J110" s="110">
        <f t="shared" ref="J110:K110" si="86">SUM(J20,J26,J29:J30,J58,J60:J61,J63,J65,J111:J115,J138,J144,J150,J159,J161,J173,J180,J183:J184,J191,J193,J195,J199:J201,J203:J205,J210,J216:J217,J219:J221,J229,J234)</f>
        <v>117.74000000000002</v>
      </c>
      <c r="K110" s="110">
        <f t="shared" si="86"/>
        <v>136.73999999999998</v>
      </c>
      <c r="L110" s="110">
        <f t="shared" ref="L110" si="87">SUM(L20,L26,L29:L30,L58,L60:L61,L63,L65,L111:L115,L138,L144,L150,L159,L161,L173,L180,L183:L184,L191,L193,L195,L199:L201,L203:L205,L210,L216:L217,L219:L221,L229,L234)</f>
        <v>148.74</v>
      </c>
      <c r="M110" s="110">
        <f t="shared" si="82"/>
        <v>210.14</v>
      </c>
      <c r="N110" s="110">
        <f t="shared" si="82"/>
        <v>235.74</v>
      </c>
      <c r="O110" s="110">
        <f t="shared" si="82"/>
        <v>209.33999999999997</v>
      </c>
      <c r="P110" s="110">
        <v>42</v>
      </c>
      <c r="Q110" s="110">
        <f t="shared" ref="Q110:AF110" si="88">SUM(Q20,Q26,Q29:Q30,Q58,Q60:Q61,Q63,Q65,Q111:Q115,Q138,Q144,Q150,Q159,Q161,Q173,Q180,Q183:Q184,Q191,Q193,Q195,Q199:Q201,Q203:Q205,Q210,Q216:Q217,Q219:Q221,Q229,Q234)</f>
        <v>172.4</v>
      </c>
      <c r="R110" s="110">
        <f t="shared" si="88"/>
        <v>200.09999999999997</v>
      </c>
      <c r="S110" s="110">
        <f t="shared" si="88"/>
        <v>162.29999999999995</v>
      </c>
      <c r="T110" s="110">
        <f t="shared" si="88"/>
        <v>155.69999999999996</v>
      </c>
      <c r="U110" s="110">
        <f t="shared" si="88"/>
        <v>163.19999999999999</v>
      </c>
      <c r="V110" s="110">
        <f t="shared" si="88"/>
        <v>183.7</v>
      </c>
      <c r="W110" s="110">
        <f t="shared" si="88"/>
        <v>211.70000000000002</v>
      </c>
      <c r="X110" s="110">
        <f t="shared" si="88"/>
        <v>261.59999999999997</v>
      </c>
      <c r="Y110" s="110">
        <f t="shared" si="88"/>
        <v>273.5</v>
      </c>
      <c r="Z110" s="110">
        <f t="shared" si="88"/>
        <v>182.39999999999998</v>
      </c>
      <c r="AA110" s="110">
        <f t="shared" si="88"/>
        <v>0</v>
      </c>
      <c r="AB110" s="110">
        <f t="shared" si="88"/>
        <v>0</v>
      </c>
      <c r="AC110" s="110">
        <f t="shared" si="88"/>
        <v>139.09999999999997</v>
      </c>
      <c r="AD110" s="110"/>
      <c r="AE110" s="110"/>
      <c r="AF110" s="110">
        <f t="shared" si="88"/>
        <v>39.1</v>
      </c>
      <c r="AG110" s="111"/>
      <c r="AH110" s="47">
        <f t="shared" si="31"/>
        <v>273.5</v>
      </c>
      <c r="AI110" s="48">
        <f t="shared" si="32"/>
        <v>0</v>
      </c>
    </row>
    <row r="111" spans="1:37" x14ac:dyDescent="0.25">
      <c r="A111" s="99" t="s">
        <v>119</v>
      </c>
      <c r="B111" s="112">
        <v>24</v>
      </c>
      <c r="C111" s="112">
        <v>33.5</v>
      </c>
      <c r="D111" s="112">
        <v>14.2</v>
      </c>
      <c r="E111" s="112">
        <v>40.200000000000003</v>
      </c>
      <c r="F111" s="112">
        <v>48.1</v>
      </c>
      <c r="G111" s="112">
        <v>48.1</v>
      </c>
      <c r="H111" s="112">
        <v>49.7</v>
      </c>
      <c r="I111" s="112">
        <v>49.7</v>
      </c>
      <c r="J111" s="112">
        <v>51.9</v>
      </c>
      <c r="K111" s="112">
        <v>63.3</v>
      </c>
      <c r="L111" s="112">
        <v>54.6</v>
      </c>
      <c r="M111" s="112">
        <v>73.2</v>
      </c>
      <c r="N111" s="112">
        <v>85.3</v>
      </c>
      <c r="O111" s="112">
        <v>78.900000000000006</v>
      </c>
      <c r="P111" s="112">
        <v>68.900000000000006</v>
      </c>
      <c r="Q111" s="112">
        <v>68.2</v>
      </c>
      <c r="R111" s="112">
        <v>66</v>
      </c>
      <c r="S111" s="112">
        <v>71.400000000000006</v>
      </c>
      <c r="T111" s="112">
        <v>63</v>
      </c>
      <c r="U111" s="112">
        <v>67</v>
      </c>
      <c r="V111" s="112">
        <v>73.099999999999994</v>
      </c>
      <c r="W111" s="112">
        <v>78.400000000000006</v>
      </c>
      <c r="X111" s="112">
        <v>70.5</v>
      </c>
      <c r="Y111" s="112">
        <v>69.3</v>
      </c>
      <c r="Z111" s="112"/>
      <c r="AA111" s="112"/>
      <c r="AB111" s="112"/>
      <c r="AC111" s="112">
        <v>68</v>
      </c>
      <c r="AD111" s="112">
        <v>64.7</v>
      </c>
      <c r="AE111" s="112">
        <v>65.7</v>
      </c>
      <c r="AF111" s="112">
        <v>33.9</v>
      </c>
      <c r="AG111" s="113">
        <v>75</v>
      </c>
      <c r="AH111" s="47">
        <f t="shared" si="31"/>
        <v>85.3</v>
      </c>
      <c r="AI111" s="48">
        <f t="shared" si="32"/>
        <v>14.2</v>
      </c>
    </row>
    <row r="112" spans="1:37" x14ac:dyDescent="0.25">
      <c r="A112" s="102" t="s">
        <v>120</v>
      </c>
      <c r="B112" s="114">
        <v>28</v>
      </c>
      <c r="C112" s="114">
        <v>41.5</v>
      </c>
      <c r="D112" s="114">
        <v>17.2</v>
      </c>
      <c r="E112" s="114">
        <v>52.2</v>
      </c>
      <c r="F112" s="114">
        <v>66.3</v>
      </c>
      <c r="G112" s="114">
        <v>66.3</v>
      </c>
      <c r="H112" s="114">
        <v>64.900000000000006</v>
      </c>
      <c r="I112" s="114">
        <v>64.900000000000006</v>
      </c>
      <c r="J112" s="114">
        <v>64.599999999999994</v>
      </c>
      <c r="K112" s="114">
        <v>83.8</v>
      </c>
      <c r="L112" s="114">
        <v>84.8</v>
      </c>
      <c r="M112" s="114">
        <v>99.5</v>
      </c>
      <c r="N112" s="114">
        <v>116.8</v>
      </c>
      <c r="O112" s="114">
        <v>107.7</v>
      </c>
      <c r="P112" s="114">
        <v>95.2</v>
      </c>
      <c r="Q112" s="114">
        <v>94.5</v>
      </c>
      <c r="R112" s="114">
        <v>88.6</v>
      </c>
      <c r="S112" s="114">
        <v>98.5</v>
      </c>
      <c r="T112" s="114">
        <v>84.7</v>
      </c>
      <c r="U112" s="114">
        <v>90.7</v>
      </c>
      <c r="V112" s="114">
        <v>100.6</v>
      </c>
      <c r="W112" s="114">
        <v>110</v>
      </c>
      <c r="X112" s="114">
        <v>97.7</v>
      </c>
      <c r="Y112" s="114">
        <v>94.8</v>
      </c>
      <c r="Z112" s="114"/>
      <c r="AA112" s="114"/>
      <c r="AB112" s="114"/>
      <c r="AC112" s="114">
        <v>88.3</v>
      </c>
      <c r="AD112" s="114">
        <v>84.6</v>
      </c>
      <c r="AE112" s="114">
        <v>88.4</v>
      </c>
      <c r="AF112" s="114">
        <v>45.8</v>
      </c>
      <c r="AG112" s="113">
        <v>240</v>
      </c>
      <c r="AH112" s="47">
        <f t="shared" si="31"/>
        <v>116.8</v>
      </c>
      <c r="AI112" s="48">
        <f t="shared" si="32"/>
        <v>17.2</v>
      </c>
    </row>
    <row r="113" spans="1:37" x14ac:dyDescent="0.25">
      <c r="A113" s="102" t="s">
        <v>121</v>
      </c>
      <c r="B113" s="114">
        <v>-150</v>
      </c>
      <c r="C113" s="114">
        <v>-116</v>
      </c>
      <c r="D113" s="114">
        <v>-55.6</v>
      </c>
      <c r="E113" s="114">
        <v>-170</v>
      </c>
      <c r="F113" s="114">
        <v>-174.9</v>
      </c>
      <c r="G113" s="114">
        <v>-174.9</v>
      </c>
      <c r="H113" s="114">
        <v>-169.7</v>
      </c>
      <c r="I113" s="114">
        <v>-169.7</v>
      </c>
      <c r="J113" s="114">
        <v>-137.5</v>
      </c>
      <c r="K113" s="114">
        <v>-156.80000000000001</v>
      </c>
      <c r="L113" s="114">
        <v>-142.9</v>
      </c>
      <c r="M113" s="114">
        <v>-135</v>
      </c>
      <c r="N113" s="114">
        <v>-153</v>
      </c>
      <c r="O113" s="114">
        <v>-175</v>
      </c>
      <c r="P113" s="114">
        <v>-162</v>
      </c>
      <c r="Q113" s="114">
        <v>-154</v>
      </c>
      <c r="R113" s="114">
        <v>-120</v>
      </c>
      <c r="S113" s="114">
        <v>-160</v>
      </c>
      <c r="T113" s="114">
        <v>-160</v>
      </c>
      <c r="U113" s="114">
        <v>-161</v>
      </c>
      <c r="V113" s="114">
        <v>-156</v>
      </c>
      <c r="W113" s="114">
        <v>-158</v>
      </c>
      <c r="X113" s="114">
        <v>-128</v>
      </c>
      <c r="Y113" s="114">
        <v>-111</v>
      </c>
      <c r="Z113" s="114"/>
      <c r="AA113" s="114"/>
      <c r="AB113" s="114"/>
      <c r="AC113" s="114">
        <f>-78-83</f>
        <v>-161</v>
      </c>
      <c r="AD113" s="114">
        <f>-81-85.7</f>
        <v>-166.7</v>
      </c>
      <c r="AE113" s="114">
        <f>-95-98.7</f>
        <v>-193.7</v>
      </c>
      <c r="AF113" s="114">
        <f>-79.5-84.2</f>
        <v>-163.69999999999999</v>
      </c>
      <c r="AG113" s="113">
        <v>240</v>
      </c>
      <c r="AH113" s="47">
        <f t="shared" si="31"/>
        <v>-55.6</v>
      </c>
      <c r="AI113" s="48">
        <f t="shared" si="32"/>
        <v>-193.7</v>
      </c>
    </row>
    <row r="114" spans="1:37" x14ac:dyDescent="0.25">
      <c r="A114" s="102" t="s">
        <v>122</v>
      </c>
      <c r="B114" s="114">
        <v>-18</v>
      </c>
      <c r="C114" s="114">
        <v>-12</v>
      </c>
      <c r="D114" s="114">
        <v>30.8</v>
      </c>
      <c r="E114" s="114">
        <v>27.5</v>
      </c>
      <c r="F114" s="114">
        <v>25.8</v>
      </c>
      <c r="G114" s="114">
        <v>25.8</v>
      </c>
      <c r="H114" s="114">
        <v>25.2</v>
      </c>
      <c r="I114" s="114">
        <v>25.2</v>
      </c>
      <c r="J114" s="114">
        <v>-4.8</v>
      </c>
      <c r="K114" s="114">
        <v>-9.9</v>
      </c>
      <c r="L114" s="114">
        <v>-4.5999999999999996</v>
      </c>
      <c r="M114" s="114">
        <v>-3.5</v>
      </c>
      <c r="N114" s="114">
        <v>-5</v>
      </c>
      <c r="O114" s="114">
        <v>0</v>
      </c>
      <c r="P114" s="114">
        <v>-4</v>
      </c>
      <c r="Q114" s="114">
        <v>-5.6</v>
      </c>
      <c r="R114" s="114">
        <v>-2.8</v>
      </c>
      <c r="S114" s="114">
        <v>-3.5</v>
      </c>
      <c r="T114" s="114">
        <v>-2.1</v>
      </c>
      <c r="U114" s="114">
        <v>-4.3</v>
      </c>
      <c r="V114" s="114">
        <v>-2.2999999999999998</v>
      </c>
      <c r="W114" s="114">
        <v>-1.4</v>
      </c>
      <c r="X114" s="114">
        <v>39</v>
      </c>
      <c r="Y114" s="114">
        <v>38</v>
      </c>
      <c r="Z114" s="114"/>
      <c r="AA114" s="114"/>
      <c r="AB114" s="114"/>
      <c r="AC114" s="114">
        <v>-3.8</v>
      </c>
      <c r="AD114" s="114">
        <v>-6.5</v>
      </c>
      <c r="AE114" s="114">
        <v>-10.199999999999999</v>
      </c>
      <c r="AF114" s="114">
        <v>-15.9</v>
      </c>
      <c r="AG114" s="113">
        <v>60</v>
      </c>
      <c r="AH114" s="47">
        <f t="shared" si="31"/>
        <v>39</v>
      </c>
      <c r="AI114" s="48">
        <f t="shared" si="32"/>
        <v>-18</v>
      </c>
    </row>
    <row r="115" spans="1:37" x14ac:dyDescent="0.25">
      <c r="A115" s="115" t="s">
        <v>123</v>
      </c>
      <c r="B115" s="116">
        <v>0</v>
      </c>
      <c r="C115" s="116">
        <v>0</v>
      </c>
      <c r="D115" s="116">
        <v>0</v>
      </c>
      <c r="E115" s="116">
        <v>0</v>
      </c>
      <c r="F115" s="116">
        <v>0</v>
      </c>
      <c r="G115" s="116">
        <v>0</v>
      </c>
      <c r="H115" s="116">
        <v>0</v>
      </c>
      <c r="I115" s="116">
        <v>0</v>
      </c>
      <c r="J115" s="116">
        <v>0</v>
      </c>
      <c r="K115" s="116">
        <v>0</v>
      </c>
      <c r="L115" s="116">
        <v>0</v>
      </c>
      <c r="M115" s="116">
        <v>0</v>
      </c>
      <c r="N115" s="116">
        <v>0</v>
      </c>
      <c r="O115" s="116">
        <v>0</v>
      </c>
      <c r="P115" s="116">
        <v>0</v>
      </c>
      <c r="Q115" s="116">
        <v>0</v>
      </c>
      <c r="R115" s="116">
        <v>0</v>
      </c>
      <c r="S115" s="116">
        <v>0</v>
      </c>
      <c r="T115" s="116">
        <v>0</v>
      </c>
      <c r="U115" s="116">
        <v>0</v>
      </c>
      <c r="V115" s="116">
        <v>0</v>
      </c>
      <c r="W115" s="116">
        <v>0</v>
      </c>
      <c r="X115" s="116">
        <v>0</v>
      </c>
      <c r="Y115" s="116">
        <v>0</v>
      </c>
      <c r="Z115" s="116"/>
      <c r="AA115" s="116"/>
      <c r="AB115" s="116"/>
      <c r="AC115" s="116">
        <v>0</v>
      </c>
      <c r="AD115" s="116">
        <v>0</v>
      </c>
      <c r="AE115" s="116">
        <v>0</v>
      </c>
      <c r="AF115" s="116">
        <v>0</v>
      </c>
      <c r="AG115" s="117">
        <v>120</v>
      </c>
      <c r="AH115" s="47">
        <f t="shared" si="31"/>
        <v>0</v>
      </c>
      <c r="AI115" s="48">
        <f t="shared" si="32"/>
        <v>0</v>
      </c>
    </row>
    <row r="116" spans="1:37" x14ac:dyDescent="0.25">
      <c r="A116" s="115" t="s">
        <v>124</v>
      </c>
      <c r="B116" s="116">
        <v>3.3</v>
      </c>
      <c r="C116" s="116">
        <v>-8</v>
      </c>
      <c r="D116" s="116">
        <v>14.6</v>
      </c>
      <c r="E116" s="116">
        <v>19.5</v>
      </c>
      <c r="F116" s="116">
        <v>34.9</v>
      </c>
      <c r="G116" s="116">
        <v>34.9</v>
      </c>
      <c r="H116" s="116">
        <v>7.7</v>
      </c>
      <c r="I116" s="116">
        <v>7.7</v>
      </c>
      <c r="J116" s="116">
        <v>0.8</v>
      </c>
      <c r="K116" s="116">
        <v>9.4</v>
      </c>
      <c r="L116" s="116">
        <v>8.1999999999999993</v>
      </c>
      <c r="M116" s="116">
        <v>0.9</v>
      </c>
      <c r="N116" s="116">
        <v>-4</v>
      </c>
      <c r="O116" s="116">
        <v>-5.5</v>
      </c>
      <c r="P116" s="116">
        <v>-11.5</v>
      </c>
      <c r="Q116" s="116">
        <v>-3.1</v>
      </c>
      <c r="R116" s="116">
        <v>-16.2</v>
      </c>
      <c r="S116" s="116">
        <v>-24</v>
      </c>
      <c r="T116" s="116">
        <v>-18</v>
      </c>
      <c r="U116" s="116">
        <v>-24</v>
      </c>
      <c r="V116" s="116">
        <v>-33</v>
      </c>
      <c r="W116" s="116">
        <v>-25</v>
      </c>
      <c r="X116" s="116">
        <v>-13</v>
      </c>
      <c r="Y116" s="116">
        <v>-12</v>
      </c>
      <c r="Z116" s="116"/>
      <c r="AA116" s="116"/>
      <c r="AB116" s="116"/>
      <c r="AC116" s="116">
        <v>-21.6</v>
      </c>
      <c r="AD116" s="116">
        <v>-14.2</v>
      </c>
      <c r="AE116" s="116">
        <v>-22.1</v>
      </c>
      <c r="AF116" s="116">
        <v>-19</v>
      </c>
      <c r="AG116" s="117"/>
      <c r="AH116" s="47">
        <f t="shared" si="31"/>
        <v>34.9</v>
      </c>
      <c r="AI116" s="48">
        <f t="shared" si="32"/>
        <v>-33</v>
      </c>
    </row>
    <row r="117" spans="1:37" x14ac:dyDescent="0.25">
      <c r="A117" s="115" t="s">
        <v>125</v>
      </c>
      <c r="B117" s="116">
        <v>-24</v>
      </c>
      <c r="C117" s="116">
        <v>-30</v>
      </c>
      <c r="D117" s="116">
        <v>53.2</v>
      </c>
      <c r="E117" s="116">
        <v>-53.2</v>
      </c>
      <c r="F117" s="116">
        <v>-83.5</v>
      </c>
      <c r="G117" s="116">
        <v>-89.4</v>
      </c>
      <c r="H117" s="116">
        <v>-81.900000000000006</v>
      </c>
      <c r="I117" s="116">
        <v>-81.900000000000006</v>
      </c>
      <c r="J117" s="116">
        <v>-63.2</v>
      </c>
      <c r="K117" s="116">
        <v>-76.099999999999994</v>
      </c>
      <c r="L117" s="116">
        <v>-71.5</v>
      </c>
      <c r="M117" s="116">
        <v>-78.2</v>
      </c>
      <c r="N117" s="116">
        <v>-87.6</v>
      </c>
      <c r="O117" s="116">
        <v>-85.6</v>
      </c>
      <c r="P117" s="116">
        <v>-86.9</v>
      </c>
      <c r="Q117" s="116">
        <v>-82.8</v>
      </c>
      <c r="R117" s="116">
        <v>-80.8</v>
      </c>
      <c r="S117" s="116">
        <v>-99</v>
      </c>
      <c r="T117" s="116">
        <v>-75</v>
      </c>
      <c r="U117" s="116">
        <v>-77.099999999999994</v>
      </c>
      <c r="V117" s="116">
        <v>-77.3</v>
      </c>
      <c r="W117" s="116">
        <v>-76</v>
      </c>
      <c r="X117" s="116">
        <v>-62</v>
      </c>
      <c r="Y117" s="116">
        <v>-63.1</v>
      </c>
      <c r="Z117" s="116"/>
      <c r="AA117" s="116"/>
      <c r="AB117" s="116"/>
      <c r="AC117" s="116">
        <v>-32</v>
      </c>
      <c r="AD117" s="116">
        <v>-22.6</v>
      </c>
      <c r="AE117" s="116">
        <v>-23</v>
      </c>
      <c r="AF117" s="116">
        <v>-30.4</v>
      </c>
      <c r="AG117" s="118"/>
      <c r="AH117" s="47">
        <f t="shared" si="31"/>
        <v>53.2</v>
      </c>
      <c r="AI117" s="48">
        <f t="shared" si="32"/>
        <v>-99</v>
      </c>
    </row>
    <row r="118" spans="1:37" x14ac:dyDescent="0.25">
      <c r="A118" s="119" t="s">
        <v>126</v>
      </c>
      <c r="B118" s="105">
        <v>72</v>
      </c>
      <c r="C118" s="105">
        <v>75</v>
      </c>
      <c r="D118" s="105">
        <v>76</v>
      </c>
      <c r="E118" s="105">
        <v>77.599999999999994</v>
      </c>
      <c r="F118" s="105">
        <v>78</v>
      </c>
      <c r="G118" s="105">
        <v>78</v>
      </c>
      <c r="H118" s="105">
        <v>73.599999999999994</v>
      </c>
      <c r="I118" s="105">
        <v>73.599999999999994</v>
      </c>
      <c r="J118" s="105">
        <v>65.400000000000006</v>
      </c>
      <c r="K118" s="105">
        <v>63.2</v>
      </c>
      <c r="L118" s="105">
        <v>56.4</v>
      </c>
      <c r="M118" s="105">
        <v>31</v>
      </c>
      <c r="N118" s="105">
        <v>35.299999999999997</v>
      </c>
      <c r="O118" s="105">
        <v>44.7</v>
      </c>
      <c r="P118" s="105">
        <v>33.299999999999997</v>
      </c>
      <c r="Q118" s="105">
        <v>43.3</v>
      </c>
      <c r="R118" s="105">
        <v>47.7</v>
      </c>
      <c r="S118" s="105">
        <v>48.5</v>
      </c>
      <c r="T118" s="105">
        <v>51</v>
      </c>
      <c r="U118" s="105">
        <v>23.9</v>
      </c>
      <c r="V118" s="105">
        <v>25.4</v>
      </c>
      <c r="W118" s="105">
        <v>18.399999999999999</v>
      </c>
      <c r="X118" s="105">
        <v>4</v>
      </c>
      <c r="Y118" s="105">
        <v>9</v>
      </c>
      <c r="Z118" s="105"/>
      <c r="AA118" s="105"/>
      <c r="AB118" s="105"/>
      <c r="AC118" s="105">
        <v>46.9</v>
      </c>
      <c r="AD118" s="105">
        <v>51.3</v>
      </c>
      <c r="AE118" s="105">
        <v>61.5</v>
      </c>
      <c r="AF118" s="105">
        <v>63.1</v>
      </c>
      <c r="AG118" s="118"/>
      <c r="AH118" s="47">
        <f t="shared" si="31"/>
        <v>78</v>
      </c>
      <c r="AI118" s="48">
        <f t="shared" si="32"/>
        <v>4</v>
      </c>
    </row>
    <row r="119" spans="1:37" x14ac:dyDescent="0.25">
      <c r="A119" s="120" t="s">
        <v>127</v>
      </c>
      <c r="B119" s="105">
        <v>85</v>
      </c>
      <c r="C119" s="105">
        <v>80</v>
      </c>
      <c r="D119" s="105">
        <v>-10.6</v>
      </c>
      <c r="E119" s="105">
        <v>73.8</v>
      </c>
      <c r="F119" s="105">
        <v>89</v>
      </c>
      <c r="G119" s="105">
        <v>89</v>
      </c>
      <c r="H119" s="105">
        <v>75.400000000000006</v>
      </c>
      <c r="I119" s="105">
        <v>75.400000000000006</v>
      </c>
      <c r="J119" s="105">
        <v>77.099999999999994</v>
      </c>
      <c r="K119" s="105">
        <v>93.8</v>
      </c>
      <c r="L119" s="105">
        <v>76.599999999999994</v>
      </c>
      <c r="M119" s="105">
        <v>68.599999999999994</v>
      </c>
      <c r="N119" s="105">
        <v>93.1</v>
      </c>
      <c r="O119" s="105">
        <v>100.9</v>
      </c>
      <c r="P119" s="105">
        <v>-100.1</v>
      </c>
      <c r="Q119" s="105">
        <v>95.7</v>
      </c>
      <c r="R119" s="105">
        <v>102.6</v>
      </c>
      <c r="S119" s="105">
        <v>107</v>
      </c>
      <c r="T119" s="105">
        <v>98.1</v>
      </c>
      <c r="U119" s="105">
        <v>97.1</v>
      </c>
      <c r="V119" s="105">
        <v>94.8</v>
      </c>
      <c r="W119" s="105">
        <v>95.6</v>
      </c>
      <c r="X119" s="105">
        <v>90.4</v>
      </c>
      <c r="Y119" s="105">
        <v>95</v>
      </c>
      <c r="Z119" s="105"/>
      <c r="AA119" s="105"/>
      <c r="AB119" s="105"/>
      <c r="AC119" s="105">
        <v>76.7</v>
      </c>
      <c r="AD119" s="105">
        <v>71.2</v>
      </c>
      <c r="AE119" s="105">
        <v>75.900000000000006</v>
      </c>
      <c r="AF119" s="105">
        <v>104.8</v>
      </c>
      <c r="AG119" s="118"/>
      <c r="AH119" s="47">
        <f t="shared" si="31"/>
        <v>107</v>
      </c>
      <c r="AI119" s="48">
        <f t="shared" si="32"/>
        <v>-100.1</v>
      </c>
    </row>
    <row r="120" spans="1:37" ht="15.75" thickBot="1" x14ac:dyDescent="0.3">
      <c r="A120" s="119" t="s">
        <v>128</v>
      </c>
      <c r="B120" s="105">
        <v>-25</v>
      </c>
      <c r="C120" s="105">
        <v>-33</v>
      </c>
      <c r="D120" s="105">
        <v>-32.6</v>
      </c>
      <c r="E120" s="105">
        <v>-33.200000000000003</v>
      </c>
      <c r="F120" s="105">
        <v>-33.5</v>
      </c>
      <c r="G120" s="105">
        <v>-33.5</v>
      </c>
      <c r="H120" s="105">
        <v>-35.6</v>
      </c>
      <c r="I120" s="105">
        <v>-35.6</v>
      </c>
      <c r="J120" s="105">
        <v>-24.8</v>
      </c>
      <c r="K120" s="105">
        <v>-25</v>
      </c>
      <c r="L120" s="105">
        <v>-15.7</v>
      </c>
      <c r="M120" s="105">
        <v>0.9</v>
      </c>
      <c r="N120" s="105">
        <v>-3.5</v>
      </c>
      <c r="O120" s="105">
        <v>-7.1</v>
      </c>
      <c r="P120" s="105">
        <v>-1.5</v>
      </c>
      <c r="Q120" s="105">
        <v>-12</v>
      </c>
      <c r="R120" s="105">
        <v>-10.1</v>
      </c>
      <c r="S120" s="105">
        <v>-12.4</v>
      </c>
      <c r="T120" s="105">
        <v>-11.4</v>
      </c>
      <c r="U120" s="105">
        <v>2</v>
      </c>
      <c r="V120" s="105">
        <v>2</v>
      </c>
      <c r="W120" s="105">
        <v>9</v>
      </c>
      <c r="X120" s="105">
        <v>29.5</v>
      </c>
      <c r="Y120" s="105">
        <v>16</v>
      </c>
      <c r="Z120" s="105"/>
      <c r="AA120" s="105"/>
      <c r="AB120" s="105"/>
      <c r="AC120" s="105">
        <v>-5.3</v>
      </c>
      <c r="AD120" s="105">
        <v>-18.7</v>
      </c>
      <c r="AE120" s="105">
        <v>-17.5</v>
      </c>
      <c r="AF120" s="105">
        <v>-21.4</v>
      </c>
      <c r="AG120" s="118"/>
      <c r="AH120" s="47">
        <f t="shared" si="31"/>
        <v>29.5</v>
      </c>
      <c r="AI120" s="48">
        <f t="shared" si="32"/>
        <v>-35.6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6"/>
      <c r="E122" s="126"/>
      <c r="F122" s="126"/>
      <c r="G122" s="126"/>
      <c r="H122" s="126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6"/>
      <c r="E123" s="126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6"/>
      <c r="E124" s="126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6"/>
      <c r="E125" s="126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6"/>
      <c r="E126" s="126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6"/>
      <c r="E127" s="126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6"/>
      <c r="E128" s="126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6"/>
      <c r="E129" s="126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6"/>
      <c r="E130" s="126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6"/>
      <c r="E131" s="126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6"/>
      <c r="E132" s="126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6"/>
      <c r="E133" s="126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6"/>
      <c r="E134" s="126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6"/>
      <c r="E135" s="126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6"/>
      <c r="E136" s="126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6"/>
      <c r="E137" s="126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9"/>
      <c r="E138" s="129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9"/>
      <c r="E139" s="129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9"/>
      <c r="E140" s="129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9"/>
      <c r="E141" s="129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9"/>
      <c r="E142" s="129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9"/>
      <c r="E143" s="129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9"/>
      <c r="E144" s="129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9"/>
      <c r="E145" s="129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9"/>
      <c r="E146" s="129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9"/>
      <c r="E147" s="129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9"/>
      <c r="E148" s="129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9"/>
      <c r="E149" s="129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9"/>
      <c r="E150" s="129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9"/>
      <c r="E151" s="129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9"/>
      <c r="E152" s="129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9"/>
      <c r="E153" s="129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9"/>
      <c r="E154" s="129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9"/>
      <c r="E155" s="129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9"/>
      <c r="E156" s="129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9"/>
      <c r="E157" s="129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89">SUM(B122:B226)</f>
        <v>0</v>
      </c>
      <c r="C227" s="136">
        <f t="shared" si="89"/>
        <v>0</v>
      </c>
      <c r="D227" s="136">
        <f t="shared" si="89"/>
        <v>0</v>
      </c>
      <c r="E227" s="136">
        <f t="shared" si="89"/>
        <v>0</v>
      </c>
      <c r="F227" s="136">
        <f t="shared" si="89"/>
        <v>0</v>
      </c>
      <c r="G227" s="136">
        <f t="shared" ref="G227" si="90">SUM(G122:G226)</f>
        <v>0</v>
      </c>
      <c r="H227" s="136">
        <f t="shared" si="89"/>
        <v>0</v>
      </c>
      <c r="I227" s="136">
        <f t="shared" si="89"/>
        <v>0</v>
      </c>
      <c r="J227" s="136">
        <f t="shared" si="89"/>
        <v>0</v>
      </c>
      <c r="K227" s="136">
        <f t="shared" si="89"/>
        <v>0</v>
      </c>
      <c r="L227" s="136">
        <f t="shared" si="89"/>
        <v>0</v>
      </c>
      <c r="M227" s="136">
        <f t="shared" si="89"/>
        <v>0</v>
      </c>
      <c r="N227" s="136">
        <f t="shared" si="89"/>
        <v>0</v>
      </c>
      <c r="O227" s="136">
        <f t="shared" si="89"/>
        <v>0</v>
      </c>
      <c r="P227" s="136">
        <f t="shared" si="89"/>
        <v>0</v>
      </c>
      <c r="Q227" s="136">
        <f t="shared" si="89"/>
        <v>0</v>
      </c>
      <c r="R227" s="136">
        <f t="shared" si="89"/>
        <v>0</v>
      </c>
      <c r="S227" s="136">
        <f t="shared" si="89"/>
        <v>0</v>
      </c>
      <c r="T227" s="136">
        <f t="shared" si="89"/>
        <v>0</v>
      </c>
      <c r="U227" s="136">
        <f t="shared" si="89"/>
        <v>0</v>
      </c>
      <c r="V227" s="136">
        <f t="shared" si="89"/>
        <v>0</v>
      </c>
      <c r="W227" s="136">
        <f t="shared" si="89"/>
        <v>0</v>
      </c>
      <c r="X227" s="136">
        <f t="shared" si="89"/>
        <v>0</v>
      </c>
      <c r="Y227" s="136">
        <f t="shared" si="89"/>
        <v>0</v>
      </c>
      <c r="Z227" s="136">
        <f t="shared" si="89"/>
        <v>0</v>
      </c>
      <c r="AA227" s="136">
        <f t="shared" si="89"/>
        <v>0</v>
      </c>
      <c r="AB227" s="136">
        <f t="shared" si="89"/>
        <v>0</v>
      </c>
      <c r="AC227" s="136">
        <f t="shared" si="89"/>
        <v>0</v>
      </c>
      <c r="AD227" s="136">
        <f t="shared" si="89"/>
        <v>0</v>
      </c>
      <c r="AE227" s="136">
        <f t="shared" si="89"/>
        <v>0</v>
      </c>
      <c r="AF227" s="137">
        <f t="shared" si="89"/>
        <v>0</v>
      </c>
      <c r="AG227" s="138">
        <f t="shared" si="89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91">AF229</f>
        <v>0</v>
      </c>
      <c r="C229" s="140">
        <v>0.3</v>
      </c>
      <c r="D229" s="140">
        <f t="shared" ref="D229:P234" si="92">C229</f>
        <v>0.3</v>
      </c>
      <c r="E229" s="140">
        <f t="shared" si="92"/>
        <v>0.3</v>
      </c>
      <c r="F229" s="140">
        <f t="shared" si="92"/>
        <v>0.3</v>
      </c>
      <c r="G229" s="140">
        <f t="shared" si="92"/>
        <v>0.3</v>
      </c>
      <c r="H229" s="140">
        <f t="shared" si="92"/>
        <v>0.3</v>
      </c>
      <c r="I229" s="140">
        <f t="shared" si="92"/>
        <v>0.3</v>
      </c>
      <c r="J229" s="140">
        <f t="shared" si="92"/>
        <v>0.3</v>
      </c>
      <c r="K229" s="140">
        <f t="shared" si="92"/>
        <v>0.3</v>
      </c>
      <c r="L229" s="140">
        <f t="shared" si="92"/>
        <v>0.3</v>
      </c>
      <c r="M229" s="140">
        <f t="shared" si="92"/>
        <v>0.3</v>
      </c>
      <c r="N229" s="140">
        <f t="shared" si="92"/>
        <v>0.3</v>
      </c>
      <c r="O229" s="140">
        <f t="shared" si="92"/>
        <v>0.3</v>
      </c>
      <c r="P229" s="140">
        <f t="shared" si="92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91"/>
        <v>0</v>
      </c>
      <c r="C230" s="128">
        <v>0.4</v>
      </c>
      <c r="D230" s="128">
        <f t="shared" si="92"/>
        <v>0.4</v>
      </c>
      <c r="E230" s="128">
        <f t="shared" si="92"/>
        <v>0.4</v>
      </c>
      <c r="F230" s="128">
        <f t="shared" si="92"/>
        <v>0.4</v>
      </c>
      <c r="G230" s="128">
        <f t="shared" si="92"/>
        <v>0.4</v>
      </c>
      <c r="H230" s="128">
        <f t="shared" si="92"/>
        <v>0.4</v>
      </c>
      <c r="I230" s="128">
        <f t="shared" si="92"/>
        <v>0.4</v>
      </c>
      <c r="J230" s="128">
        <f t="shared" si="92"/>
        <v>0.4</v>
      </c>
      <c r="K230" s="128">
        <f t="shared" si="92"/>
        <v>0.4</v>
      </c>
      <c r="L230" s="128">
        <f t="shared" si="92"/>
        <v>0.4</v>
      </c>
      <c r="M230" s="128">
        <f t="shared" si="92"/>
        <v>0.4</v>
      </c>
      <c r="N230" s="128">
        <f t="shared" si="92"/>
        <v>0.4</v>
      </c>
      <c r="O230" s="128">
        <f t="shared" si="92"/>
        <v>0.4</v>
      </c>
      <c r="P230" s="128">
        <f t="shared" si="92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91"/>
        <v>0</v>
      </c>
      <c r="C231" s="128">
        <v>1.5</v>
      </c>
      <c r="D231" s="128">
        <f t="shared" si="92"/>
        <v>1.5</v>
      </c>
      <c r="E231" s="128">
        <f t="shared" si="92"/>
        <v>1.5</v>
      </c>
      <c r="F231" s="128">
        <f t="shared" si="92"/>
        <v>1.5</v>
      </c>
      <c r="G231" s="128">
        <f t="shared" si="92"/>
        <v>1.5</v>
      </c>
      <c r="H231" s="128">
        <f t="shared" si="92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92"/>
        <v>123.21900000000009</v>
      </c>
      <c r="K231" s="128">
        <f t="shared" ca="1" si="92"/>
        <v>123.21900000000009</v>
      </c>
      <c r="L231" s="128">
        <f t="shared" ca="1" si="92"/>
        <v>123.21900000000009</v>
      </c>
      <c r="M231" s="128">
        <f t="shared" ca="1" si="92"/>
        <v>119.19900000000008</v>
      </c>
      <c r="N231" s="128">
        <f t="shared" ca="1" si="92"/>
        <v>119.19900000000008</v>
      </c>
      <c r="O231" s="128">
        <f t="shared" ca="1" si="92"/>
        <v>119.19900000000008</v>
      </c>
      <c r="P231" s="128">
        <f t="shared" ca="1" si="92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91"/>
        <v>0</v>
      </c>
      <c r="C232" s="128">
        <v>0.3</v>
      </c>
      <c r="D232" s="128">
        <f t="shared" si="92"/>
        <v>0.3</v>
      </c>
      <c r="E232" s="128">
        <f t="shared" si="92"/>
        <v>0.3</v>
      </c>
      <c r="F232" s="128">
        <f t="shared" si="92"/>
        <v>0.3</v>
      </c>
      <c r="G232" s="128">
        <f t="shared" si="92"/>
        <v>0.3</v>
      </c>
      <c r="H232" s="128">
        <f t="shared" si="92"/>
        <v>0.3</v>
      </c>
      <c r="I232" s="128">
        <f t="shared" si="92"/>
        <v>0.3</v>
      </c>
      <c r="J232" s="128">
        <f t="shared" si="92"/>
        <v>0.3</v>
      </c>
      <c r="K232" s="128">
        <f t="shared" si="92"/>
        <v>0.3</v>
      </c>
      <c r="L232" s="128">
        <f t="shared" si="92"/>
        <v>0.3</v>
      </c>
      <c r="M232" s="128">
        <f t="shared" si="92"/>
        <v>0.3</v>
      </c>
      <c r="N232" s="128">
        <f t="shared" si="92"/>
        <v>0.3</v>
      </c>
      <c r="O232" s="128">
        <f t="shared" si="92"/>
        <v>0.3</v>
      </c>
      <c r="P232" s="128">
        <f t="shared" si="92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91"/>
        <v>0</v>
      </c>
      <c r="C233" s="128">
        <v>0.4</v>
      </c>
      <c r="D233" s="128">
        <f t="shared" si="92"/>
        <v>0.4</v>
      </c>
      <c r="E233" s="128">
        <f t="shared" si="92"/>
        <v>0.4</v>
      </c>
      <c r="F233" s="128">
        <f t="shared" si="92"/>
        <v>0.4</v>
      </c>
      <c r="G233" s="128">
        <f t="shared" si="92"/>
        <v>0.4</v>
      </c>
      <c r="H233" s="128">
        <f t="shared" si="92"/>
        <v>0.4</v>
      </c>
      <c r="I233" s="128">
        <f t="shared" si="92"/>
        <v>0.4</v>
      </c>
      <c r="J233" s="128">
        <f t="shared" si="92"/>
        <v>0.4</v>
      </c>
      <c r="K233" s="128">
        <f t="shared" si="92"/>
        <v>0.4</v>
      </c>
      <c r="L233" s="128">
        <f t="shared" si="92"/>
        <v>0.4</v>
      </c>
      <c r="M233" s="128">
        <f t="shared" si="92"/>
        <v>0.4</v>
      </c>
      <c r="N233" s="128">
        <f t="shared" si="92"/>
        <v>0.4</v>
      </c>
      <c r="O233" s="128">
        <f t="shared" si="92"/>
        <v>0.4</v>
      </c>
      <c r="P233" s="128">
        <f t="shared" si="92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91"/>
        <v>0</v>
      </c>
      <c r="C234" s="132">
        <v>0.64</v>
      </c>
      <c r="D234" s="132">
        <f t="shared" si="92"/>
        <v>0.64</v>
      </c>
      <c r="E234" s="132">
        <f t="shared" si="92"/>
        <v>0.64</v>
      </c>
      <c r="F234" s="132">
        <f t="shared" si="92"/>
        <v>0.64</v>
      </c>
      <c r="G234" s="132">
        <f t="shared" si="92"/>
        <v>0.64</v>
      </c>
      <c r="H234" s="132">
        <f t="shared" si="92"/>
        <v>0.64</v>
      </c>
      <c r="I234" s="132">
        <f t="shared" si="92"/>
        <v>0.64</v>
      </c>
      <c r="J234" s="132">
        <f t="shared" si="92"/>
        <v>0.64</v>
      </c>
      <c r="K234" s="132">
        <f t="shared" si="92"/>
        <v>0.64</v>
      </c>
      <c r="L234" s="132">
        <f t="shared" si="92"/>
        <v>0.64</v>
      </c>
      <c r="M234" s="132">
        <f t="shared" si="92"/>
        <v>0.64</v>
      </c>
      <c r="N234" s="132">
        <f t="shared" si="92"/>
        <v>0.64</v>
      </c>
      <c r="O234" s="132">
        <f t="shared" si="92"/>
        <v>0.64</v>
      </c>
      <c r="P234" s="132">
        <f t="shared" si="92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93">SUM(B229:B234)</f>
        <v>0</v>
      </c>
      <c r="C235" s="136">
        <f t="shared" si="93"/>
        <v>3.54</v>
      </c>
      <c r="D235" s="136">
        <f t="shared" si="93"/>
        <v>3.54</v>
      </c>
      <c r="E235" s="136">
        <f t="shared" si="93"/>
        <v>3.54</v>
      </c>
      <c r="F235" s="136">
        <f t="shared" si="93"/>
        <v>3.54</v>
      </c>
      <c r="G235" s="136">
        <f t="shared" si="93"/>
        <v>3.54</v>
      </c>
      <c r="H235" s="136">
        <f t="shared" si="93"/>
        <v>3.54</v>
      </c>
      <c r="I235" s="136">
        <f t="shared" ca="1" si="93"/>
        <v>121.23900000000009</v>
      </c>
      <c r="J235" s="136">
        <f t="shared" ca="1" si="93"/>
        <v>121.23900000000009</v>
      </c>
      <c r="K235" s="136">
        <f t="shared" ca="1" si="93"/>
        <v>121.23900000000009</v>
      </c>
      <c r="L235" s="136">
        <f t="shared" ca="1" si="93"/>
        <v>125.2590000000001</v>
      </c>
      <c r="M235" s="136">
        <f t="shared" ca="1" si="93"/>
        <v>121.23900000000009</v>
      </c>
      <c r="N235" s="136">
        <f t="shared" ca="1" si="93"/>
        <v>121.23900000000009</v>
      </c>
      <c r="O235" s="136">
        <f t="shared" ca="1" si="93"/>
        <v>121.23900000000009</v>
      </c>
      <c r="P235" s="136">
        <f t="shared" ca="1" si="93"/>
        <v>121.23900000000009</v>
      </c>
      <c r="Q235" s="136">
        <f t="shared" si="93"/>
        <v>0</v>
      </c>
      <c r="R235" s="136">
        <f t="shared" si="93"/>
        <v>0</v>
      </c>
      <c r="S235" s="136">
        <f t="shared" si="93"/>
        <v>0</v>
      </c>
      <c r="T235" s="136">
        <f t="shared" si="93"/>
        <v>0</v>
      </c>
      <c r="U235" s="136">
        <f t="shared" si="93"/>
        <v>0</v>
      </c>
      <c r="V235" s="136">
        <f t="shared" si="93"/>
        <v>0</v>
      </c>
      <c r="W235" s="136">
        <f t="shared" si="93"/>
        <v>0</v>
      </c>
      <c r="X235" s="136">
        <f t="shared" si="93"/>
        <v>0</v>
      </c>
      <c r="Y235" s="136">
        <f t="shared" si="93"/>
        <v>0</v>
      </c>
      <c r="Z235" s="136">
        <f t="shared" si="93"/>
        <v>0</v>
      </c>
      <c r="AA235" s="136">
        <f t="shared" si="93"/>
        <v>0</v>
      </c>
      <c r="AB235" s="136">
        <f t="shared" si="93"/>
        <v>0</v>
      </c>
      <c r="AC235" s="136">
        <f t="shared" si="93"/>
        <v>0</v>
      </c>
      <c r="AD235" s="136">
        <f t="shared" si="93"/>
        <v>0</v>
      </c>
      <c r="AE235" s="136">
        <f t="shared" si="93"/>
        <v>0</v>
      </c>
      <c r="AF235" s="136">
        <f t="shared" si="93"/>
        <v>0</v>
      </c>
      <c r="AG235" s="145">
        <f t="shared" si="93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2091.64</v>
      </c>
      <c r="C244" s="161">
        <f>INDEX(G9:N9,1,MATCH(MAX(G91:N91),G91:N91,0))</f>
        <v>0.375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30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str">
        <f ca="1">"Pie Chart of Daily Peak Demand(Inclusive of Export) of Nepal ("&amp;A4&amp;" "&amp;B4&amp;")"</f>
        <v>Pie Chart of Daily Peak Demand(Inclusive of Export) of Nepal (Nepali Date: 2080/06/30)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str">
        <f ca="1">"Daily Load Curve(Excluding of Export) of Nepal ("&amp;A4&amp;" "&amp;B4&amp;")"</f>
        <v>Daily Load Curve(Excluding of Export) of Nepal (Nepali Date: 2080/06/30)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94">B91</f>
        <v>1682.94</v>
      </c>
      <c r="U249" s="170">
        <f t="shared" si="94"/>
        <v>1705.3400000000001</v>
      </c>
      <c r="V249" s="170">
        <f t="shared" si="94"/>
        <v>1634.3400000000001</v>
      </c>
      <c r="W249" s="170">
        <f t="shared" si="94"/>
        <v>1670.44</v>
      </c>
      <c r="X249" s="170">
        <f t="shared" si="94"/>
        <v>1681.64</v>
      </c>
      <c r="Y249" s="170">
        <f t="shared" si="94"/>
        <v>1757.94</v>
      </c>
      <c r="Z249" s="170">
        <f t="shared" si="94"/>
        <v>1756.94</v>
      </c>
      <c r="AA249" s="170">
        <f t="shared" si="94"/>
        <v>1768.44</v>
      </c>
      <c r="AB249" s="170">
        <f t="shared" si="94"/>
        <v>1788.54</v>
      </c>
      <c r="AC249" s="170">
        <f t="shared" si="94"/>
        <v>1857.1399999999999</v>
      </c>
      <c r="AD249" s="170">
        <f t="shared" si="94"/>
        <v>1921.44</v>
      </c>
      <c r="AE249" s="170">
        <f t="shared" si="94"/>
        <v>1960.44</v>
      </c>
      <c r="AF249" s="170">
        <f t="shared" si="94"/>
        <v>2091.64</v>
      </c>
      <c r="AG249" s="170">
        <f t="shared" si="94"/>
        <v>2064.34</v>
      </c>
      <c r="AH249" s="170">
        <f t="shared" si="94"/>
        <v>2067.7400000000002</v>
      </c>
      <c r="AI249" s="170">
        <f t="shared" si="94"/>
        <v>1997.44</v>
      </c>
      <c r="AJ249" s="170">
        <f t="shared" si="94"/>
        <v>1969.44</v>
      </c>
      <c r="AK249" s="170">
        <f t="shared" si="94"/>
        <v>1966.34</v>
      </c>
      <c r="AL249" s="170">
        <f t="shared" si="94"/>
        <v>1974.94</v>
      </c>
      <c r="AM249" s="170">
        <f t="shared" si="94"/>
        <v>1997.64</v>
      </c>
      <c r="AN249" s="170">
        <f t="shared" si="94"/>
        <v>1963.8400000000001</v>
      </c>
      <c r="AO249" s="170">
        <f t="shared" si="94"/>
        <v>2018.3400000000001</v>
      </c>
      <c r="AP249" s="170">
        <f t="shared" si="94"/>
        <v>2129.2400000000002</v>
      </c>
      <c r="AQ249" s="170">
        <f t="shared" si="94"/>
        <v>2170.44</v>
      </c>
      <c r="AR249" s="170">
        <f t="shared" si="94"/>
        <v>2078.64</v>
      </c>
      <c r="AS249" s="170">
        <f t="shared" si="94"/>
        <v>3.54</v>
      </c>
      <c r="AT249" s="170">
        <f t="shared" si="94"/>
        <v>3.54</v>
      </c>
      <c r="AU249" s="170">
        <f t="shared" si="94"/>
        <v>1927.8400000000001</v>
      </c>
      <c r="AV249" s="170">
        <f t="shared" si="94"/>
        <v>1910.14</v>
      </c>
      <c r="AW249" s="170">
        <f t="shared" si="94"/>
        <v>1888.24</v>
      </c>
      <c r="AX249" s="170">
        <f t="shared" si="94"/>
        <v>1818.44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95">C234</f>
        <v>0.64</v>
      </c>
      <c r="C270" s="173">
        <f t="shared" si="95"/>
        <v>0.64</v>
      </c>
      <c r="D270" s="173">
        <f t="shared" si="95"/>
        <v>0.64</v>
      </c>
      <c r="E270" s="173">
        <f t="shared" si="95"/>
        <v>0.64</v>
      </c>
      <c r="F270" s="173">
        <f t="shared" si="95"/>
        <v>0.64</v>
      </c>
      <c r="G270" s="173">
        <f t="shared" si="95"/>
        <v>0.64</v>
      </c>
      <c r="H270" s="173">
        <f t="shared" si="95"/>
        <v>0.64</v>
      </c>
      <c r="I270" s="173">
        <f t="shared" si="95"/>
        <v>0.64</v>
      </c>
      <c r="J270" s="173">
        <f t="shared" si="95"/>
        <v>0.64</v>
      </c>
      <c r="K270" s="173">
        <f t="shared" si="95"/>
        <v>0.64</v>
      </c>
      <c r="L270" s="173">
        <f t="shared" si="95"/>
        <v>0.64</v>
      </c>
      <c r="M270" s="173">
        <f t="shared" si="95"/>
        <v>0.64</v>
      </c>
      <c r="N270" s="173">
        <f t="shared" si="95"/>
        <v>0.64</v>
      </c>
      <c r="O270" s="173">
        <f t="shared" si="95"/>
        <v>0.64</v>
      </c>
      <c r="P270" s="173">
        <f t="shared" si="95"/>
        <v>0</v>
      </c>
      <c r="Q270" s="173">
        <f t="shared" si="95"/>
        <v>0</v>
      </c>
      <c r="R270" s="173">
        <f t="shared" si="95"/>
        <v>0</v>
      </c>
      <c r="S270" s="173">
        <f t="shared" si="95"/>
        <v>0</v>
      </c>
      <c r="T270" s="173">
        <f t="shared" si="95"/>
        <v>0</v>
      </c>
      <c r="U270" s="173">
        <f t="shared" si="95"/>
        <v>0</v>
      </c>
      <c r="V270" s="173">
        <f t="shared" si="95"/>
        <v>0</v>
      </c>
      <c r="W270" s="173">
        <f t="shared" si="95"/>
        <v>0</v>
      </c>
      <c r="X270" s="173">
        <f t="shared" si="95"/>
        <v>0</v>
      </c>
      <c r="Y270" s="173">
        <f t="shared" si="95"/>
        <v>0</v>
      </c>
      <c r="Z270" s="173">
        <f t="shared" si="95"/>
        <v>0</v>
      </c>
      <c r="AA270" s="173">
        <f t="shared" si="95"/>
        <v>0</v>
      </c>
      <c r="AB270" s="173">
        <f t="shared" si="95"/>
        <v>0</v>
      </c>
      <c r="AC270" s="173">
        <f t="shared" si="95"/>
        <v>0</v>
      </c>
      <c r="AD270" s="173">
        <f t="shared" si="95"/>
        <v>0</v>
      </c>
      <c r="AE270" s="173">
        <f t="shared" si="95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96">IF(B238&lt;100,"",B238-520)</f>
        <v/>
      </c>
      <c r="C271" s="174" t="str">
        <f t="shared" si="96"/>
        <v/>
      </c>
      <c r="D271" s="174" t="str">
        <f t="shared" si="96"/>
        <v/>
      </c>
      <c r="E271" s="174" t="str">
        <f t="shared" si="96"/>
        <v/>
      </c>
      <c r="F271" s="174" t="str">
        <f t="shared" si="96"/>
        <v/>
      </c>
      <c r="G271" s="174" t="str">
        <f t="shared" si="96"/>
        <v/>
      </c>
      <c r="H271" s="174" t="str">
        <f t="shared" si="96"/>
        <v/>
      </c>
      <c r="I271" s="174" t="str">
        <f t="shared" si="96"/>
        <v/>
      </c>
      <c r="J271" s="174" t="str">
        <f t="shared" si="96"/>
        <v/>
      </c>
      <c r="K271" s="174" t="str">
        <f t="shared" si="96"/>
        <v/>
      </c>
      <c r="L271" s="174" t="str">
        <f t="shared" si="96"/>
        <v/>
      </c>
      <c r="M271" s="174" t="str">
        <f t="shared" si="96"/>
        <v/>
      </c>
      <c r="N271" s="174" t="str">
        <f t="shared" si="96"/>
        <v/>
      </c>
      <c r="O271" s="174" t="str">
        <f t="shared" si="96"/>
        <v/>
      </c>
      <c r="P271" s="174" t="str">
        <f t="shared" si="96"/>
        <v/>
      </c>
      <c r="Q271" s="174" t="str">
        <f t="shared" si="96"/>
        <v/>
      </c>
      <c r="R271" s="174" t="str">
        <f t="shared" si="96"/>
        <v/>
      </c>
      <c r="S271" s="174" t="str">
        <f t="shared" si="96"/>
        <v/>
      </c>
      <c r="T271" s="174" t="str">
        <f t="shared" si="96"/>
        <v/>
      </c>
      <c r="U271" s="174" t="str">
        <f t="shared" si="96"/>
        <v/>
      </c>
      <c r="V271" s="174" t="str">
        <f t="shared" si="96"/>
        <v/>
      </c>
      <c r="W271" s="174" t="str">
        <f t="shared" si="96"/>
        <v/>
      </c>
      <c r="X271" s="174" t="str">
        <f t="shared" si="96"/>
        <v/>
      </c>
      <c r="Y271" s="174" t="str">
        <f t="shared" si="96"/>
        <v/>
      </c>
      <c r="Z271" s="174" t="str">
        <f t="shared" si="96"/>
        <v/>
      </c>
      <c r="AA271" s="174" t="str">
        <f t="shared" si="96"/>
        <v/>
      </c>
      <c r="AB271" s="174" t="str">
        <f t="shared" si="96"/>
        <v/>
      </c>
      <c r="AC271" s="174" t="str">
        <f t="shared" si="96"/>
        <v/>
      </c>
      <c r="AD271" s="174" t="str">
        <f t="shared" si="96"/>
        <v/>
      </c>
      <c r="AE271" s="174" t="str">
        <f t="shared" si="96"/>
        <v/>
      </c>
      <c r="AF271" s="174" t="str">
        <f t="shared" si="96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97">IF(B239&lt;100,"",B239-620)</f>
        <v/>
      </c>
      <c r="C272" s="174" t="str">
        <f t="shared" si="97"/>
        <v/>
      </c>
      <c r="D272" s="174" t="str">
        <f t="shared" si="97"/>
        <v/>
      </c>
      <c r="E272" s="174" t="str">
        <f t="shared" si="97"/>
        <v/>
      </c>
      <c r="F272" s="174" t="str">
        <f t="shared" si="97"/>
        <v/>
      </c>
      <c r="G272" s="174" t="str">
        <f t="shared" si="97"/>
        <v/>
      </c>
      <c r="H272" s="174" t="str">
        <f t="shared" si="97"/>
        <v/>
      </c>
      <c r="I272" s="174" t="str">
        <f t="shared" si="97"/>
        <v/>
      </c>
      <c r="J272" s="174" t="str">
        <f t="shared" si="97"/>
        <v/>
      </c>
      <c r="K272" s="174" t="str">
        <f t="shared" si="97"/>
        <v/>
      </c>
      <c r="L272" s="174" t="str">
        <f t="shared" si="97"/>
        <v/>
      </c>
      <c r="M272" s="174" t="str">
        <f t="shared" si="97"/>
        <v/>
      </c>
      <c r="N272" s="174" t="str">
        <f t="shared" si="97"/>
        <v/>
      </c>
      <c r="O272" s="174" t="str">
        <f t="shared" si="97"/>
        <v/>
      </c>
      <c r="P272" s="174" t="str">
        <f t="shared" si="97"/>
        <v/>
      </c>
      <c r="Q272" s="174" t="str">
        <f t="shared" si="97"/>
        <v/>
      </c>
      <c r="R272" s="174" t="str">
        <f t="shared" si="97"/>
        <v/>
      </c>
      <c r="S272" s="174" t="str">
        <f t="shared" si="97"/>
        <v/>
      </c>
      <c r="T272" s="174" t="str">
        <f t="shared" si="97"/>
        <v/>
      </c>
      <c r="U272" s="174" t="str">
        <f t="shared" si="97"/>
        <v/>
      </c>
      <c r="V272" s="174" t="str">
        <f t="shared" si="97"/>
        <v/>
      </c>
      <c r="W272" s="174" t="str">
        <f t="shared" si="97"/>
        <v/>
      </c>
      <c r="X272" s="174" t="str">
        <f t="shared" si="97"/>
        <v/>
      </c>
      <c r="Y272" s="174" t="str">
        <f t="shared" si="97"/>
        <v/>
      </c>
      <c r="Z272" s="174" t="str">
        <f t="shared" si="97"/>
        <v/>
      </c>
      <c r="AA272" s="174" t="str">
        <f t="shared" si="97"/>
        <v/>
      </c>
      <c r="AB272" s="174" t="str">
        <f t="shared" si="97"/>
        <v/>
      </c>
      <c r="AC272" s="174" t="str">
        <f t="shared" si="97"/>
        <v/>
      </c>
      <c r="AD272" s="174" t="str">
        <f t="shared" si="97"/>
        <v/>
      </c>
      <c r="AE272" s="174" t="str">
        <f t="shared" si="97"/>
        <v/>
      </c>
      <c r="AF272" s="174" t="str">
        <f t="shared" si="97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98">IF(B240&lt;100,"",B240-330)</f>
        <v/>
      </c>
      <c r="C273" s="174" t="str">
        <f t="shared" si="98"/>
        <v/>
      </c>
      <c r="D273" s="174" t="str">
        <f t="shared" si="98"/>
        <v/>
      </c>
      <c r="E273" s="174" t="str">
        <f t="shared" si="98"/>
        <v/>
      </c>
      <c r="F273" s="174" t="str">
        <f t="shared" si="98"/>
        <v/>
      </c>
      <c r="G273" s="174" t="str">
        <f t="shared" si="98"/>
        <v/>
      </c>
      <c r="H273" s="174" t="str">
        <f t="shared" si="98"/>
        <v/>
      </c>
      <c r="I273" s="174" t="str">
        <f t="shared" si="98"/>
        <v/>
      </c>
      <c r="J273" s="174" t="str">
        <f t="shared" si="98"/>
        <v/>
      </c>
      <c r="K273" s="174" t="str">
        <f t="shared" si="98"/>
        <v/>
      </c>
      <c r="L273" s="174" t="str">
        <f t="shared" si="98"/>
        <v/>
      </c>
      <c r="M273" s="174" t="str">
        <f t="shared" si="98"/>
        <v/>
      </c>
      <c r="N273" s="174" t="str">
        <f t="shared" si="98"/>
        <v/>
      </c>
      <c r="O273" s="174" t="str">
        <f t="shared" si="98"/>
        <v/>
      </c>
      <c r="P273" s="174" t="str">
        <f t="shared" si="98"/>
        <v/>
      </c>
      <c r="Q273" s="174" t="str">
        <f t="shared" si="98"/>
        <v/>
      </c>
      <c r="R273" s="174" t="str">
        <f t="shared" si="98"/>
        <v/>
      </c>
      <c r="S273" s="174" t="str">
        <f t="shared" si="98"/>
        <v/>
      </c>
      <c r="T273" s="174" t="str">
        <f t="shared" si="98"/>
        <v/>
      </c>
      <c r="U273" s="174" t="str">
        <f t="shared" si="98"/>
        <v/>
      </c>
      <c r="V273" s="174" t="str">
        <f t="shared" si="98"/>
        <v/>
      </c>
      <c r="W273" s="174" t="str">
        <f t="shared" si="98"/>
        <v/>
      </c>
      <c r="X273" s="174" t="str">
        <f t="shared" si="98"/>
        <v/>
      </c>
      <c r="Y273" s="174" t="str">
        <f t="shared" si="98"/>
        <v/>
      </c>
      <c r="Z273" s="174" t="str">
        <f t="shared" si="98"/>
        <v/>
      </c>
      <c r="AA273" s="174" t="str">
        <f t="shared" si="98"/>
        <v/>
      </c>
      <c r="AB273" s="174" t="str">
        <f t="shared" si="98"/>
        <v/>
      </c>
      <c r="AC273" s="174" t="str">
        <f t="shared" si="98"/>
        <v/>
      </c>
      <c r="AD273" s="174" t="str">
        <f t="shared" si="98"/>
        <v/>
      </c>
      <c r="AE273" s="174" t="str">
        <f t="shared" si="98"/>
        <v/>
      </c>
      <c r="AF273" s="174" t="str">
        <f t="shared" si="98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99">IF(B241&lt;100,"",B241-1500)</f>
        <v/>
      </c>
      <c r="C274" s="174" t="str">
        <f t="shared" si="99"/>
        <v/>
      </c>
      <c r="D274" s="174" t="str">
        <f t="shared" si="99"/>
        <v/>
      </c>
      <c r="E274" s="174" t="str">
        <f t="shared" si="99"/>
        <v/>
      </c>
      <c r="F274" s="174" t="str">
        <f t="shared" si="99"/>
        <v/>
      </c>
      <c r="G274" s="174" t="str">
        <f t="shared" si="99"/>
        <v/>
      </c>
      <c r="H274" s="174" t="str">
        <f t="shared" si="99"/>
        <v/>
      </c>
      <c r="I274" s="174" t="str">
        <f t="shared" si="99"/>
        <v/>
      </c>
      <c r="J274" s="174" t="str">
        <f t="shared" si="99"/>
        <v/>
      </c>
      <c r="K274" s="174" t="str">
        <f t="shared" si="99"/>
        <v/>
      </c>
      <c r="L274" s="174" t="str">
        <f t="shared" si="99"/>
        <v/>
      </c>
      <c r="M274" s="174" t="str">
        <f t="shared" si="99"/>
        <v/>
      </c>
      <c r="N274" s="174" t="str">
        <f t="shared" si="99"/>
        <v/>
      </c>
      <c r="O274" s="174" t="str">
        <f t="shared" si="99"/>
        <v/>
      </c>
      <c r="P274" s="174" t="str">
        <f t="shared" si="99"/>
        <v/>
      </c>
      <c r="Q274" s="174" t="str">
        <f t="shared" si="99"/>
        <v/>
      </c>
      <c r="R274" s="174" t="str">
        <f t="shared" si="99"/>
        <v/>
      </c>
      <c r="S274" s="174" t="str">
        <f t="shared" si="99"/>
        <v/>
      </c>
      <c r="T274" s="174" t="str">
        <f t="shared" si="99"/>
        <v/>
      </c>
      <c r="U274" s="174" t="str">
        <f t="shared" si="99"/>
        <v/>
      </c>
      <c r="V274" s="174" t="str">
        <f t="shared" si="99"/>
        <v/>
      </c>
      <c r="W274" s="174" t="str">
        <f t="shared" si="99"/>
        <v/>
      </c>
      <c r="X274" s="174" t="str">
        <f t="shared" si="99"/>
        <v/>
      </c>
      <c r="Y274" s="174" t="str">
        <f t="shared" si="99"/>
        <v/>
      </c>
      <c r="Z274" s="174" t="str">
        <f t="shared" si="99"/>
        <v/>
      </c>
      <c r="AA274" s="174" t="str">
        <f t="shared" si="99"/>
        <v/>
      </c>
      <c r="AB274" s="174" t="str">
        <f t="shared" si="99"/>
        <v/>
      </c>
      <c r="AC274" s="174" t="str">
        <f t="shared" si="99"/>
        <v/>
      </c>
      <c r="AD274" s="174" t="str">
        <f t="shared" si="99"/>
        <v/>
      </c>
      <c r="AE274" s="174" t="str">
        <f t="shared" si="99"/>
        <v/>
      </c>
      <c r="AF274" s="174" t="str">
        <f t="shared" si="99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  <mergeCell ref="K9:K10"/>
    <mergeCell ref="L9:L10"/>
    <mergeCell ref="M9:M10"/>
    <mergeCell ref="N9:N10"/>
    <mergeCell ref="O9:O10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B4:D4"/>
    <mergeCell ref="E4:G4"/>
    <mergeCell ref="H4:I4"/>
    <mergeCell ref="B8:L8"/>
    <mergeCell ref="M8:R8"/>
    <mergeCell ref="A1:AF1"/>
    <mergeCell ref="AG1:AI1"/>
    <mergeCell ref="B2:B3"/>
    <mergeCell ref="D2:D3"/>
    <mergeCell ref="F2:F3"/>
    <mergeCell ref="H2:H3"/>
    <mergeCell ref="J2:J3"/>
  </mergeCells>
  <conditionalFormatting sqref="A11:A236">
    <cfRule type="expression" dxfId="235" priority="64">
      <formula>$AH11=0</formula>
    </cfRule>
  </conditionalFormatting>
  <conditionalFormatting sqref="B8 M8 S8 AB8">
    <cfRule type="expression" dxfId="234" priority="115">
      <formula>AND(C$9&gt;=14/24,C$9&lt;20/24)</formula>
    </cfRule>
    <cfRule type="expression" dxfId="233" priority="116">
      <formula>AND(C$9&gt;=8/24,C$9&lt;14/24)</formula>
    </cfRule>
    <cfRule type="expression" dxfId="232" priority="117">
      <formula>C$9&lt;8/24</formula>
    </cfRule>
  </conditionalFormatting>
  <conditionalFormatting sqref="B54:L54">
    <cfRule type="expression" dxfId="231" priority="38">
      <formula>B$9&gt;=20/24</formula>
    </cfRule>
    <cfRule type="expression" dxfId="230" priority="39">
      <formula>AND(B$9&gt;=14/24,B$9&lt;20/24)</formula>
    </cfRule>
    <cfRule type="expression" dxfId="229" priority="40">
      <formula>AND(B$9&gt;=8/24,B$9&lt;14/24)</formula>
    </cfRule>
    <cfRule type="expression" dxfId="228" priority="41">
      <formula>B$9&lt;8/24</formula>
    </cfRule>
  </conditionalFormatting>
  <conditionalFormatting sqref="B54:L66 M55:P58 M59:Q66 R64:X66">
    <cfRule type="expression" dxfId="227" priority="33">
      <formula>B54&gt;$AG54</formula>
    </cfRule>
  </conditionalFormatting>
  <conditionalFormatting sqref="B55:P58 B59:Q59">
    <cfRule type="expression" dxfId="226" priority="60">
      <formula>B$9&gt;=20/24</formula>
    </cfRule>
    <cfRule type="expression" dxfId="225" priority="61">
      <formula>AND(B$9&gt;=14/24,B$9&lt;20/24)</formula>
    </cfRule>
    <cfRule type="expression" dxfId="224" priority="62">
      <formula>AND(B$9&gt;=8/24,B$9&lt;14/24)</formula>
    </cfRule>
    <cfRule type="expression" dxfId="223" priority="63">
      <formula>B$9&lt;8/24</formula>
    </cfRule>
  </conditionalFormatting>
  <conditionalFormatting sqref="B60:X60">
    <cfRule type="expression" dxfId="222" priority="51">
      <formula>B$9&gt;=20/24</formula>
    </cfRule>
    <cfRule type="expression" dxfId="221" priority="52">
      <formula>AND(B$9&gt;=14/24,B$9&lt;20/24)</formula>
    </cfRule>
    <cfRule type="expression" dxfId="220" priority="53">
      <formula>AND(B$9&gt;=8/24,B$9&lt;14/24)</formula>
    </cfRule>
    <cfRule type="expression" dxfId="219" priority="54">
      <formula>B$9&lt;8/24</formula>
    </cfRule>
  </conditionalFormatting>
  <conditionalFormatting sqref="B61:AF66">
    <cfRule type="expression" dxfId="218" priority="34">
      <formula>B$9&gt;=20/24</formula>
    </cfRule>
    <cfRule type="expression" dxfId="217" priority="35">
      <formula>AND(B$9&gt;=14/24,B$9&lt;20/24)</formula>
    </cfRule>
    <cfRule type="expression" dxfId="216" priority="36">
      <formula>AND(B$9&gt;=8/24,B$9&lt;14/24)</formula>
    </cfRule>
    <cfRule type="expression" dxfId="215" priority="37">
      <formula>B$9&lt;8/24</formula>
    </cfRule>
  </conditionalFormatting>
  <conditionalFormatting sqref="B9:AF45">
    <cfRule type="expression" dxfId="214" priority="23">
      <formula>B$9&gt;=20/24</formula>
    </cfRule>
    <cfRule type="expression" dxfId="213" priority="24">
      <formula>AND(B$9&gt;=14/24,B$9&lt;20/24)</formula>
    </cfRule>
    <cfRule type="expression" dxfId="212" priority="25">
      <formula>AND(B$9&gt;=8/24,B$9&lt;14/24)</formula>
    </cfRule>
    <cfRule type="expression" dxfId="211" priority="26">
      <formula>B$9&lt;8/24</formula>
    </cfRule>
  </conditionalFormatting>
  <conditionalFormatting sqref="B11:AF46">
    <cfRule type="expression" dxfId="210" priority="22">
      <formula>B11&gt;$AG11</formula>
    </cfRule>
  </conditionalFormatting>
  <conditionalFormatting sqref="B46:AF46">
    <cfRule type="expression" dxfId="209" priority="18">
      <formula>B$9&gt;=20/24</formula>
    </cfRule>
    <cfRule type="expression" dxfId="208" priority="19">
      <formula>AND(B$9&gt;=14/24,B$9&lt;20/24)</formula>
    </cfRule>
    <cfRule type="expression" dxfId="207" priority="20">
      <formula>AND(B$9&gt;=8/24,B$9&lt;14/24)</formula>
    </cfRule>
    <cfRule type="expression" dxfId="206" priority="21">
      <formula>B$9&lt;8/24</formula>
    </cfRule>
  </conditionalFormatting>
  <conditionalFormatting sqref="B47:AF47">
    <cfRule type="expression" dxfId="205" priority="32">
      <formula>B47&gt;$AG47</formula>
    </cfRule>
  </conditionalFormatting>
  <conditionalFormatting sqref="B47:AF49">
    <cfRule type="expression" dxfId="204" priority="28">
      <formula>B$9&gt;=20/24</formula>
    </cfRule>
    <cfRule type="expression" dxfId="203" priority="29">
      <formula>AND(B$9&gt;=14/24,B$9&lt;20/24)</formula>
    </cfRule>
    <cfRule type="expression" dxfId="202" priority="30">
      <formula>AND(B$9&gt;=8/24,B$9&lt;14/24)</formula>
    </cfRule>
    <cfRule type="expression" dxfId="201" priority="31">
      <formula>B$9&lt;8/24</formula>
    </cfRule>
  </conditionalFormatting>
  <conditionalFormatting sqref="B48:AF53">
    <cfRule type="expression" dxfId="200" priority="27">
      <formula>B48&gt;$AG48</formula>
    </cfRule>
  </conditionalFormatting>
  <conditionalFormatting sqref="B51:AF53">
    <cfRule type="expression" dxfId="199" priority="47">
      <formula>B$9&gt;=20/24</formula>
    </cfRule>
    <cfRule type="expression" dxfId="198" priority="48">
      <formula>AND(B$9&gt;=14/24,B$9&lt;20/24)</formula>
    </cfRule>
    <cfRule type="expression" dxfId="197" priority="49">
      <formula>AND(B$9&gt;=8/24,B$9&lt;14/24)</formula>
    </cfRule>
    <cfRule type="expression" dxfId="196" priority="50">
      <formula>B$9&lt;8/24</formula>
    </cfRule>
  </conditionalFormatting>
  <conditionalFormatting sqref="B69:AF71">
    <cfRule type="expression" dxfId="195" priority="55">
      <formula>B69&gt;$AG69</formula>
    </cfRule>
    <cfRule type="expression" dxfId="194" priority="56">
      <formula>B$9&gt;=20/24</formula>
    </cfRule>
    <cfRule type="expression" dxfId="193" priority="57">
      <formula>AND(B$9&gt;=14/24,B$9&lt;20/24)</formula>
    </cfRule>
    <cfRule type="expression" dxfId="192" priority="58">
      <formula>AND(B$9&gt;=8/24,B$9&lt;14/24)</formula>
    </cfRule>
    <cfRule type="expression" dxfId="191" priority="59">
      <formula>B$9&lt;8/24</formula>
    </cfRule>
  </conditionalFormatting>
  <conditionalFormatting sqref="B73:AF91">
    <cfRule type="expression" dxfId="190" priority="1">
      <formula>B$9&gt;=20/24</formula>
    </cfRule>
    <cfRule type="expression" dxfId="189" priority="2">
      <formula>AND(B$9&gt;=14/24,B$9&lt;20/24)</formula>
    </cfRule>
    <cfRule type="expression" dxfId="188" priority="3">
      <formula>AND(B$9&gt;=8/24,B$9&lt;14/24)</formula>
    </cfRule>
    <cfRule type="expression" dxfId="187" priority="4">
      <formula>B$9&lt;8/24</formula>
    </cfRule>
  </conditionalFormatting>
  <conditionalFormatting sqref="B111:AF120">
    <cfRule type="expression" dxfId="186" priority="14">
      <formula>B$9&gt;=20/24</formula>
    </cfRule>
    <cfRule type="expression" dxfId="185" priority="15">
      <formula>AND(B$9&gt;=14/24,B$9&lt;20/24)</formula>
    </cfRule>
    <cfRule type="expression" dxfId="184" priority="16">
      <formula>AND(B$9&gt;=8/24,B$9&lt;14/24)</formula>
    </cfRule>
    <cfRule type="expression" dxfId="183" priority="17">
      <formula>B$9&lt;8/24</formula>
    </cfRule>
  </conditionalFormatting>
  <conditionalFormatting sqref="D229:AF230 B229:B235 D231:H231 J231:AF231 D232:AF235 U248:AF248 B227:AF227">
    <cfRule type="expression" dxfId="182" priority="108">
      <formula>B$9&gt;=20/24</formula>
    </cfRule>
    <cfRule type="expression" dxfId="181" priority="109">
      <formula>AND(B$9&gt;=14/24,B$9&lt;20/24)</formula>
    </cfRule>
    <cfRule type="expression" dxfId="180" priority="110">
      <formula>AND(B$9&gt;=8/24,B$9&lt;14/24)</formula>
    </cfRule>
    <cfRule type="expression" dxfId="179" priority="111">
      <formula>B$9&lt;8/24</formula>
    </cfRule>
  </conditionalFormatting>
  <conditionalFormatting sqref="B67:AG68 B72:AG72">
    <cfRule type="expression" dxfId="178" priority="42">
      <formula>B67&gt;$AG67</formula>
    </cfRule>
  </conditionalFormatting>
  <conditionalFormatting sqref="B72:AG72 B93:AF109">
    <cfRule type="expression" dxfId="177" priority="43">
      <formula>B$9&gt;=20/24</formula>
    </cfRule>
    <cfRule type="expression" dxfId="176" priority="44">
      <formula>AND(B$9&gt;=14/24,B$9&lt;20/24)</formula>
    </cfRule>
    <cfRule type="expression" dxfId="175" priority="45">
      <formula>AND(B$9&gt;=8/24,B$9&lt;14/24)</formula>
    </cfRule>
    <cfRule type="expression" dxfId="174" priority="46">
      <formula>B$9&lt;8/24</formula>
    </cfRule>
  </conditionalFormatting>
  <conditionalFormatting sqref="Q55:R58 R59:R66 S55:AF66">
    <cfRule type="expression" dxfId="173" priority="5">
      <formula>Q55&gt;$AG55</formula>
    </cfRule>
  </conditionalFormatting>
  <conditionalFormatting sqref="M54:AG54">
    <cfRule type="expression" dxfId="172" priority="76">
      <formula>M54&gt;$AG54</formula>
    </cfRule>
    <cfRule type="expression" dxfId="171" priority="77">
      <formula>M$9&gt;=20/24</formula>
    </cfRule>
    <cfRule type="expression" dxfId="170" priority="78">
      <formula>AND(M$9&gt;=14/24,M$9&lt;20/24)</formula>
    </cfRule>
    <cfRule type="expression" dxfId="169" priority="79">
      <formula>AND(M$9&gt;=8/24,M$9&lt;14/24)</formula>
    </cfRule>
    <cfRule type="expression" dxfId="168" priority="80">
      <formula>M$9&lt;8/24</formula>
    </cfRule>
  </conditionalFormatting>
  <conditionalFormatting sqref="Q55:R58 R59 S55:X59">
    <cfRule type="expression" dxfId="167" priority="93">
      <formula>Q$9&gt;=20/24</formula>
    </cfRule>
    <cfRule type="expression" dxfId="166" priority="94">
      <formula>AND(Q$9&gt;=14/24,Q$9&lt;20/24)</formula>
    </cfRule>
    <cfRule type="expression" dxfId="165" priority="95">
      <formula>AND(Q$9&gt;=8/24,Q$9&lt;14/24)</formula>
    </cfRule>
    <cfRule type="expression" dxfId="164" priority="96">
      <formula>Q$9&lt;8/24</formula>
    </cfRule>
  </conditionalFormatting>
  <conditionalFormatting sqref="O3:P3">
    <cfRule type="iconSet" priority="112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163" priority="114">
      <formula>C$9&gt;=20/24</formula>
    </cfRule>
  </conditionalFormatting>
  <conditionalFormatting sqref="S8">
    <cfRule type="expression" dxfId="162" priority="101">
      <formula>U$9&gt;=20/24</formula>
    </cfRule>
    <cfRule type="expression" dxfId="161" priority="102">
      <formula>AND(U$9&gt;=14/24,U$9&lt;20/24)</formula>
    </cfRule>
    <cfRule type="expression" dxfId="160" priority="103">
      <formula>AND(U$9&gt;=8/24,U$9&lt;14/24)</formula>
    </cfRule>
    <cfRule type="expression" dxfId="159" priority="104">
      <formula>U$9&lt;8/24</formula>
    </cfRule>
  </conditionalFormatting>
  <conditionalFormatting sqref="T55:AF60">
    <cfRule type="expression" dxfId="158" priority="10">
      <formula>T$9&gt;=20/24</formula>
    </cfRule>
    <cfRule type="expression" dxfId="157" priority="11">
      <formula>AND(T$9&gt;=14/24,T$9&lt;20/24)</formula>
    </cfRule>
    <cfRule type="expression" dxfId="156" priority="12">
      <formula>AND(T$9&gt;=8/24,T$9&lt;14/24)</formula>
    </cfRule>
    <cfRule type="expression" dxfId="155" priority="13">
      <formula>T$9&lt;8/24</formula>
    </cfRule>
  </conditionalFormatting>
  <conditionalFormatting sqref="T248">
    <cfRule type="expression" dxfId="154" priority="126">
      <formula>AX$9&gt;=20/24</formula>
    </cfRule>
    <cfRule type="expression" dxfId="153" priority="127">
      <formula>AND(AX$9&gt;=14/24,AX$9&lt;20/24)</formula>
    </cfRule>
    <cfRule type="expression" dxfId="152" priority="128">
      <formula>AND(AX$9&gt;=8/24,AX$9&lt;14/24)</formula>
    </cfRule>
    <cfRule type="expression" dxfId="151" priority="129">
      <formula>AX$9&lt;8/24</formula>
    </cfRule>
  </conditionalFormatting>
  <conditionalFormatting sqref="V3 AB3">
    <cfRule type="iconSet" priority="113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150" priority="97">
      <formula>AD$9&gt;=20/24</formula>
    </cfRule>
    <cfRule type="expression" dxfId="149" priority="98">
      <formula>AND(AD$9&gt;=14/24,AD$9&lt;20/24)</formula>
    </cfRule>
    <cfRule type="expression" dxfId="148" priority="99">
      <formula>AND(AD$9&gt;=8/24,AD$9&lt;14/24)</formula>
    </cfRule>
    <cfRule type="expression" dxfId="147" priority="100">
      <formula>AD$9&lt;8/24</formula>
    </cfRule>
  </conditionalFormatting>
  <conditionalFormatting sqref="AG50">
    <cfRule type="expression" dxfId="146" priority="84">
      <formula>AG50&gt;$AG50</formula>
    </cfRule>
  </conditionalFormatting>
  <conditionalFormatting sqref="AG89">
    <cfRule type="expression" dxfId="145" priority="85">
      <formula>AG$9&gt;=20/24</formula>
    </cfRule>
    <cfRule type="expression" dxfId="144" priority="86">
      <formula>AND(AG$9&gt;=14/24,AG$9&lt;20/24)</formula>
    </cfRule>
    <cfRule type="expression" dxfId="143" priority="87">
      <formula>AND(AG$9&gt;=8/24,AG$9&lt;14/24)</formula>
    </cfRule>
    <cfRule type="expression" dxfId="142" priority="88">
      <formula>AG$9&lt;8/24</formula>
    </cfRule>
  </conditionalFormatting>
  <conditionalFormatting sqref="AG248">
    <cfRule type="expression" dxfId="141" priority="118">
      <formula>B$9&gt;=20/24</formula>
    </cfRule>
    <cfRule type="expression" dxfId="140" priority="119">
      <formula>AND(B$9&gt;=14/24,B$9&lt;20/24)</formula>
    </cfRule>
    <cfRule type="expression" dxfId="139" priority="120">
      <formula>AND(B$9&gt;=8/24,B$9&lt;14/24)</formula>
    </cfRule>
    <cfRule type="expression" dxfId="138" priority="121">
      <formula>B$9&lt;8/24</formula>
    </cfRule>
  </conditionalFormatting>
  <conditionalFormatting sqref="AH248:AX248">
    <cfRule type="expression" dxfId="137" priority="122">
      <formula>AG$9&gt;=20/24</formula>
    </cfRule>
    <cfRule type="expression" dxfId="136" priority="123">
      <formula>AND(AG$9&gt;=14/24,AG$9&lt;20/24)</formula>
    </cfRule>
    <cfRule type="expression" dxfId="135" priority="124">
      <formula>AND(AG$9&gt;=8/24,AG$9&lt;14/24)</formula>
    </cfRule>
    <cfRule type="expression" dxfId="134" priority="125">
      <formula>AG$9&lt;8/24</formula>
    </cfRule>
  </conditionalFormatting>
  <conditionalFormatting sqref="AL4:AL6">
    <cfRule type="iconSet" priority="107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67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82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66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81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83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10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105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65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130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33" priority="131">
      <formula>AJ$9&gt;=20/24</formula>
    </cfRule>
    <cfRule type="expression" dxfId="132" priority="132">
      <formula>AND(AJ$9&gt;=14/24,AJ$9&lt;20/24)</formula>
    </cfRule>
    <cfRule type="expression" dxfId="131" priority="133">
      <formula>AND(AJ$9&gt;=8/24,AJ$9&lt;14/24)</formula>
    </cfRule>
    <cfRule type="expression" dxfId="130" priority="134">
      <formula>AJ$9&lt;8/24</formula>
    </cfRule>
  </conditionalFormatting>
  <conditionalFormatting sqref="AL80:AN80 AL86:AN86">
    <cfRule type="expression" dxfId="129" priority="72">
      <formula>AL$9&gt;=20/24</formula>
    </cfRule>
    <cfRule type="expression" dxfId="128" priority="73">
      <formula>AND(AL$9&gt;=14/24,AL$9&lt;20/24)</formula>
    </cfRule>
    <cfRule type="expression" dxfId="127" priority="74">
      <formula>AND(AL$9&gt;=8/24,AL$9&lt;14/24)</formula>
    </cfRule>
    <cfRule type="expression" dxfId="126" priority="75">
      <formula>AL$9&lt;8/24</formula>
    </cfRule>
  </conditionalFormatting>
  <conditionalFormatting sqref="AN81:AN84">
    <cfRule type="expression" dxfId="125" priority="68">
      <formula>AN$9&gt;=20/24</formula>
    </cfRule>
    <cfRule type="expression" dxfId="124" priority="69">
      <formula>AND(AN$9&gt;=14/24,AN$9&lt;20/24)</formula>
    </cfRule>
    <cfRule type="expression" dxfId="123" priority="70">
      <formula>AND(AN$9&gt;=8/24,AN$9&lt;14/24)</formula>
    </cfRule>
    <cfRule type="expression" dxfId="122" priority="71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46A8-D3D0-4410-9673-C4D89332B04A}">
  <sheetPr codeName="Sheet21"/>
  <dimension ref="A1:CJ281"/>
  <sheetViews>
    <sheetView workbookViewId="0">
      <pane xSplit="1" ySplit="10" topLeftCell="B47" activePane="bottomRight" state="frozen"/>
      <selection activeCell="AF103" sqref="AF103"/>
      <selection pane="topRight" activeCell="AF103" sqref="AF103"/>
      <selection pane="bottomLeft" activeCell="AF103" sqref="AF103"/>
      <selection pane="bottomRight" activeCell="H4" sqref="H4:I4"/>
    </sheetView>
  </sheetViews>
  <sheetFormatPr defaultRowHeight="15" x14ac:dyDescent="0.25"/>
  <cols>
    <col min="1" max="1" width="35.28515625" style="1" bestFit="1" customWidth="1"/>
    <col min="2" max="2" width="6.7109375" style="1" bestFit="1" customWidth="1"/>
    <col min="3" max="3" width="6.140625" style="1" customWidth="1"/>
    <col min="4" max="4" width="7" style="1" customWidth="1"/>
    <col min="5" max="9" width="6.42578125" style="1" bestFit="1" customWidth="1"/>
    <col min="10" max="10" width="6.28515625" style="1" bestFit="1" customWidth="1"/>
    <col min="11" max="13" width="6" style="1" bestFit="1" customWidth="1"/>
    <col min="14" max="15" width="6.28515625" style="1" bestFit="1" customWidth="1"/>
    <col min="16" max="16" width="6.7109375" style="1" customWidth="1"/>
    <col min="17" max="17" width="7.140625" style="1" customWidth="1"/>
    <col min="18" max="18" width="6.28515625" style="1" customWidth="1"/>
    <col min="19" max="19" width="7" style="1" customWidth="1"/>
    <col min="20" max="20" width="6.85546875" style="1" customWidth="1"/>
    <col min="21" max="21" width="6.5703125" style="1" bestFit="1" customWidth="1"/>
    <col min="22" max="26" width="6.85546875" style="1" customWidth="1"/>
    <col min="27" max="27" width="7.140625" style="1" customWidth="1"/>
    <col min="28" max="32" width="6.85546875" style="1" customWidth="1"/>
    <col min="33" max="33" width="14.42578125" style="1" customWidth="1"/>
    <col min="34" max="35" width="8" style="1" customWidth="1"/>
    <col min="36" max="37" width="9.140625" style="1"/>
    <col min="38" max="41" width="9.140625" style="1" customWidth="1"/>
    <col min="42" max="16384" width="9.140625" style="1"/>
  </cols>
  <sheetData>
    <row r="1" spans="1:88" ht="36" customHeight="1" thickBot="1" x14ac:dyDescent="0.3">
      <c r="A1" s="206" t="s">
        <v>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7" t="s">
        <v>1</v>
      </c>
      <c r="AH1" s="207"/>
      <c r="AI1" s="207"/>
      <c r="AL1" s="2"/>
    </row>
    <row r="2" spans="1:88" ht="20.25" x14ac:dyDescent="0.25">
      <c r="A2" s="3"/>
      <c r="B2" s="208" t="s">
        <v>2</v>
      </c>
      <c r="C2" s="4"/>
      <c r="D2" s="210" t="s">
        <v>3</v>
      </c>
      <c r="E2" s="4"/>
      <c r="F2" s="210" t="s">
        <v>4</v>
      </c>
      <c r="G2" s="4"/>
      <c r="H2" s="210" t="s">
        <v>5</v>
      </c>
      <c r="I2" s="5"/>
      <c r="J2" s="212" t="s">
        <v>6</v>
      </c>
      <c r="K2" s="6" t="s">
        <v>2</v>
      </c>
      <c r="L2" s="6" t="s">
        <v>3</v>
      </c>
      <c r="M2" s="6" t="s">
        <v>4</v>
      </c>
      <c r="N2" s="7" t="s">
        <v>5</v>
      </c>
      <c r="O2" s="8"/>
      <c r="P2" s="8"/>
      <c r="Q2" s="9"/>
      <c r="R2" s="9"/>
      <c r="S2" s="9"/>
      <c r="T2" s="9"/>
      <c r="U2" s="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0">
        <f>AG50</f>
        <v>922.14</v>
      </c>
      <c r="AH2" s="11" t="s">
        <v>7</v>
      </c>
      <c r="AI2" s="12"/>
      <c r="AM2" s="13"/>
      <c r="AN2" s="14"/>
      <c r="AO2" s="14"/>
    </row>
    <row r="3" spans="1:88" ht="19.5" thickBot="1" x14ac:dyDescent="0.3">
      <c r="A3" s="15"/>
      <c r="B3" s="209"/>
      <c r="C3" s="16"/>
      <c r="D3" s="211"/>
      <c r="E3" s="16"/>
      <c r="F3" s="211"/>
      <c r="G3" s="16"/>
      <c r="H3" s="211"/>
      <c r="I3" s="17"/>
      <c r="J3" s="212"/>
      <c r="K3" s="18"/>
      <c r="L3" s="18"/>
      <c r="M3" s="18"/>
      <c r="N3" s="18"/>
      <c r="O3" s="19"/>
      <c r="P3" s="19"/>
      <c r="Q3" s="8"/>
      <c r="R3" s="8"/>
      <c r="S3" s="8"/>
      <c r="T3" s="8"/>
      <c r="U3" s="8"/>
      <c r="V3" s="20" t="s">
        <v>8</v>
      </c>
      <c r="W3" s="20"/>
      <c r="X3" s="20" t="s">
        <v>9</v>
      </c>
      <c r="Y3" s="20"/>
      <c r="Z3" s="20"/>
      <c r="AA3" s="20"/>
      <c r="AB3" s="19"/>
      <c r="AC3" s="21"/>
      <c r="AD3" s="21"/>
      <c r="AE3" s="21"/>
      <c r="AF3" s="21"/>
      <c r="AG3" s="22">
        <f>AG68</f>
        <v>489.91</v>
      </c>
      <c r="AH3" s="11" t="s">
        <v>10</v>
      </c>
      <c r="AI3" s="12"/>
      <c r="AL3" s="23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</row>
    <row r="4" spans="1:88" ht="18.75" x14ac:dyDescent="0.25">
      <c r="A4" s="25" t="s">
        <v>11</v>
      </c>
      <c r="B4" s="201" t="e">
        <f ca="1">"2080/"&amp;"06/"&amp;INT(MID(CELL("filename",D6),FIND("]",CELL("filename",D6))+1,200))</f>
        <v>#VALUE!</v>
      </c>
      <c r="C4" s="201"/>
      <c r="D4" s="201"/>
      <c r="E4" s="202" t="e">
        <f ca="1">"2080/"&amp;"06/"&amp;INT(MID(CELL("filename",G6),FIND("]",CELL("filename",G6))+1,200))</f>
        <v>#VALUE!</v>
      </c>
      <c r="F4" s="202"/>
      <c r="G4" s="202"/>
      <c r="H4" s="202" t="e">
        <f ca="1">TEXT(E4,"dddd")</f>
        <v>#VALUE!</v>
      </c>
      <c r="I4" s="202"/>
      <c r="J4" s="26"/>
      <c r="K4" s="1" t="str">
        <f>"Total Peak Supply(Inclusive of Export) ("&amp;ROUND(B252,0)&amp;" MW)"&amp;"    IPP   = "&amp;ROUND(B247,0)&amp;" MW     NEA RoR = "&amp;ROUND(B248,0)&amp;" MWImport   = "&amp;ROUND(B250,0)&amp;" MW      KL1+KL2+K3 = "&amp;ROUND(B249,0) &amp;" MW    EXPORT = "&amp;ROUND(B251,0)</f>
        <v>Total Peak Supply(Inclusive of Export) (0 MW)    IPP   = 0 MW     NEA RoR = 0 MWImport   = 0 MW      KL1+KL2+K3 = 0 MW    EXPORT = 0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27"/>
      <c r="AE4" s="27"/>
      <c r="AF4" s="27"/>
      <c r="AG4" s="22">
        <f>AG72</f>
        <v>106</v>
      </c>
      <c r="AH4" s="11" t="s">
        <v>12</v>
      </c>
      <c r="AI4" s="12"/>
      <c r="AL4" s="28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</row>
    <row r="5" spans="1:88" ht="15.75" customHeight="1" x14ac:dyDescent="0.25">
      <c r="A5" s="29"/>
      <c r="B5" s="30">
        <f t="shared" ref="B5:AE5" si="0">C84</f>
        <v>0</v>
      </c>
      <c r="C5" s="30">
        <f t="shared" si="0"/>
        <v>0</v>
      </c>
      <c r="D5" s="30">
        <f t="shared" si="0"/>
        <v>0</v>
      </c>
      <c r="E5" s="30">
        <f t="shared" si="0"/>
        <v>0</v>
      </c>
      <c r="F5" s="30">
        <f t="shared" si="0"/>
        <v>0</v>
      </c>
      <c r="G5" s="30">
        <f t="shared" si="0"/>
        <v>0</v>
      </c>
      <c r="H5" s="30">
        <f t="shared" si="0"/>
        <v>0</v>
      </c>
      <c r="I5" s="30">
        <f t="shared" si="0"/>
        <v>0</v>
      </c>
      <c r="J5" s="30">
        <f t="shared" si="0"/>
        <v>0</v>
      </c>
      <c r="K5" s="30">
        <f t="shared" si="0"/>
        <v>0</v>
      </c>
      <c r="L5" s="30">
        <f t="shared" si="0"/>
        <v>0</v>
      </c>
      <c r="M5" s="30">
        <f t="shared" si="0"/>
        <v>0</v>
      </c>
      <c r="N5" s="30">
        <f t="shared" si="0"/>
        <v>0</v>
      </c>
      <c r="O5" s="30">
        <f t="shared" si="0"/>
        <v>0</v>
      </c>
      <c r="P5" s="30">
        <f t="shared" si="0"/>
        <v>0</v>
      </c>
      <c r="Q5" s="30">
        <f t="shared" si="0"/>
        <v>0</v>
      </c>
      <c r="R5" s="30">
        <f t="shared" si="0"/>
        <v>0</v>
      </c>
      <c r="S5" s="30">
        <f t="shared" si="0"/>
        <v>0</v>
      </c>
      <c r="T5" s="30">
        <f t="shared" si="0"/>
        <v>0</v>
      </c>
      <c r="U5" s="30">
        <f t="shared" si="0"/>
        <v>0</v>
      </c>
      <c r="V5" s="30">
        <f t="shared" si="0"/>
        <v>0</v>
      </c>
      <c r="W5" s="30">
        <f t="shared" si="0"/>
        <v>0</v>
      </c>
      <c r="X5" s="30">
        <f t="shared" si="0"/>
        <v>0</v>
      </c>
      <c r="Y5" s="30">
        <f t="shared" si="0"/>
        <v>0</v>
      </c>
      <c r="Z5" s="30">
        <f t="shared" si="0"/>
        <v>0</v>
      </c>
      <c r="AA5" s="30">
        <f t="shared" si="0"/>
        <v>0</v>
      </c>
      <c r="AB5" s="30">
        <f t="shared" si="0"/>
        <v>0</v>
      </c>
      <c r="AC5" s="30">
        <f t="shared" si="0"/>
        <v>0</v>
      </c>
      <c r="AD5" s="30">
        <f t="shared" si="0"/>
        <v>0</v>
      </c>
      <c r="AE5" s="30">
        <f t="shared" si="0"/>
        <v>0</v>
      </c>
      <c r="AF5" s="30">
        <f>B84</f>
        <v>0</v>
      </c>
      <c r="AG5" s="22"/>
      <c r="AH5" s="11"/>
      <c r="AI5" s="12"/>
      <c r="AL5" s="28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</row>
    <row r="6" spans="1:88" ht="18.75" x14ac:dyDescent="0.25">
      <c r="A6" s="29"/>
      <c r="B6" s="31"/>
      <c r="C6" s="29"/>
      <c r="D6" s="32"/>
      <c r="E6" s="32"/>
      <c r="F6" s="32"/>
      <c r="G6" s="32"/>
      <c r="H6" s="32"/>
      <c r="I6" s="32"/>
      <c r="J6" s="26"/>
      <c r="K6" s="1" t="str">
        <f>"Evening Peak "&amp;ROUND(B252,0)&amp;"MW at "&amp;TRUNC(B253*24,0)&amp;":"&amp;ROUND((B253*24-TRUNC(B253*24,0))*60,0)&amp;"hr at "&amp;ROUND(B254,1)&amp;"Hz     "&amp;A244&amp;" "&amp;ROUND(B244,0)&amp;"MW at "&amp;TRUNC(C244*24,0)&amp;":"&amp;ROUND((C244*24-TRUNC(C244*24,0))*6,0)&amp;"0hr"</f>
        <v>Evening Peak 0MW at 0:0hr at 0Hz     Morning Peak 4MW at 4:60hr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27"/>
      <c r="AE6" s="27"/>
      <c r="AF6" s="27"/>
      <c r="AG6" s="22">
        <f>SUM(AG2:AG4)</f>
        <v>1518.05</v>
      </c>
      <c r="AH6" s="33" t="s">
        <v>13</v>
      </c>
      <c r="AI6" s="12"/>
      <c r="AL6" s="28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</row>
    <row r="7" spans="1:88" ht="16.5" thickBot="1" x14ac:dyDescent="0.3">
      <c r="A7" s="34" t="str">
        <f>"Base Load="&amp;ROUND(MIN($B$7:$AF$7),0)</f>
        <v>Base Load=4</v>
      </c>
      <c r="B7" s="35">
        <f t="shared" ref="B7:AF7" si="1">B91</f>
        <v>303.54000000000002</v>
      </c>
      <c r="C7" s="35">
        <f t="shared" si="1"/>
        <v>3.54</v>
      </c>
      <c r="D7" s="35">
        <f t="shared" si="1"/>
        <v>3.54</v>
      </c>
      <c r="E7" s="35">
        <f t="shared" si="1"/>
        <v>3.54</v>
      </c>
      <c r="F7" s="35">
        <f t="shared" si="1"/>
        <v>3.54</v>
      </c>
      <c r="G7" s="35">
        <f t="shared" si="1"/>
        <v>3.54</v>
      </c>
      <c r="H7" s="35">
        <f t="shared" si="1"/>
        <v>3.54</v>
      </c>
      <c r="I7" s="35">
        <f t="shared" si="1"/>
        <v>3.54</v>
      </c>
      <c r="J7" s="35">
        <f t="shared" si="1"/>
        <v>3.54</v>
      </c>
      <c r="K7" s="35">
        <f t="shared" si="1"/>
        <v>3.54</v>
      </c>
      <c r="L7" s="35">
        <f t="shared" si="1"/>
        <v>3.54</v>
      </c>
      <c r="M7" s="35">
        <f t="shared" si="1"/>
        <v>3.54</v>
      </c>
      <c r="N7" s="35">
        <f>N91</f>
        <v>3.54</v>
      </c>
      <c r="O7" s="35">
        <f t="shared" si="1"/>
        <v>3.54</v>
      </c>
      <c r="P7" s="35">
        <f t="shared" si="1"/>
        <v>3.54</v>
      </c>
      <c r="Q7" s="35">
        <f t="shared" si="1"/>
        <v>3.54</v>
      </c>
      <c r="R7" s="35">
        <f t="shared" si="1"/>
        <v>3.54</v>
      </c>
      <c r="S7" s="35">
        <f t="shared" si="1"/>
        <v>3.54</v>
      </c>
      <c r="T7" s="35">
        <f t="shared" si="1"/>
        <v>3.54</v>
      </c>
      <c r="U7" s="35">
        <f t="shared" si="1"/>
        <v>3.54</v>
      </c>
      <c r="V7" s="35">
        <f t="shared" si="1"/>
        <v>3.54</v>
      </c>
      <c r="W7" s="35">
        <f t="shared" si="1"/>
        <v>3.54</v>
      </c>
      <c r="X7" s="35">
        <f t="shared" si="1"/>
        <v>3.54</v>
      </c>
      <c r="Y7" s="35">
        <f t="shared" si="1"/>
        <v>3.54</v>
      </c>
      <c r="Z7" s="35">
        <f t="shared" si="1"/>
        <v>3.54</v>
      </c>
      <c r="AA7" s="35">
        <f t="shared" si="1"/>
        <v>3.54</v>
      </c>
      <c r="AB7" s="35">
        <f t="shared" si="1"/>
        <v>3.54</v>
      </c>
      <c r="AC7" s="35">
        <f t="shared" si="1"/>
        <v>3.54</v>
      </c>
      <c r="AD7" s="35">
        <f t="shared" si="1"/>
        <v>3.54</v>
      </c>
      <c r="AE7" s="35">
        <f t="shared" si="1"/>
        <v>3.54</v>
      </c>
      <c r="AF7" s="35">
        <f t="shared" si="1"/>
        <v>3.54</v>
      </c>
      <c r="AG7" s="36"/>
      <c r="AI7" s="37"/>
      <c r="AL7" s="23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</row>
    <row r="8" spans="1:88" ht="17.25" thickTop="1" thickBot="1" x14ac:dyDescent="0.3">
      <c r="A8" s="38"/>
      <c r="B8" s="203" t="s">
        <v>14</v>
      </c>
      <c r="C8" s="204"/>
      <c r="D8" s="204"/>
      <c r="E8" s="204"/>
      <c r="F8" s="204"/>
      <c r="G8" s="204"/>
      <c r="H8" s="204"/>
      <c r="I8" s="204"/>
      <c r="J8" s="204"/>
      <c r="K8" s="204"/>
      <c r="L8" s="205"/>
      <c r="M8" s="196" t="s">
        <v>15</v>
      </c>
      <c r="N8" s="197"/>
      <c r="O8" s="197"/>
      <c r="P8" s="197"/>
      <c r="Q8" s="197"/>
      <c r="R8" s="198"/>
      <c r="S8" s="196" t="s">
        <v>16</v>
      </c>
      <c r="T8" s="197"/>
      <c r="U8" s="197"/>
      <c r="V8" s="197"/>
      <c r="W8" s="197"/>
      <c r="X8" s="197"/>
      <c r="Y8" s="197"/>
      <c r="Z8" s="197"/>
      <c r="AA8" s="198"/>
      <c r="AB8" s="196" t="s">
        <v>17</v>
      </c>
      <c r="AC8" s="197"/>
      <c r="AD8" s="197"/>
      <c r="AE8" s="197"/>
      <c r="AF8" s="198"/>
      <c r="AG8" s="39"/>
      <c r="AH8" s="40"/>
      <c r="AI8" s="41"/>
      <c r="AL8" s="28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</row>
    <row r="9" spans="1:88" ht="13.5" customHeight="1" thickTop="1" x14ac:dyDescent="0.25">
      <c r="A9" s="199" t="s">
        <v>18</v>
      </c>
      <c r="B9" s="195">
        <v>0</v>
      </c>
      <c r="C9" s="195">
        <v>4.1666666666666664E-2</v>
      </c>
      <c r="D9" s="195">
        <v>8.3333333333333301E-2</v>
      </c>
      <c r="E9" s="195">
        <v>0.125</v>
      </c>
      <c r="F9" s="195">
        <v>0.16666666666666699</v>
      </c>
      <c r="G9" s="195">
        <v>0.20833333333333301</v>
      </c>
      <c r="H9" s="195">
        <v>0.22916666666666666</v>
      </c>
      <c r="I9" s="195">
        <v>0.25</v>
      </c>
      <c r="J9" s="195">
        <v>0.27083333333333331</v>
      </c>
      <c r="K9" s="195">
        <v>0.29166666666666669</v>
      </c>
      <c r="L9" s="195">
        <v>0.3125</v>
      </c>
      <c r="M9" s="193">
        <v>0.33333333333333331</v>
      </c>
      <c r="N9" s="193">
        <v>0.375</v>
      </c>
      <c r="O9" s="193">
        <v>0.41666666666666702</v>
      </c>
      <c r="P9" s="193">
        <v>0.45833333333333298</v>
      </c>
      <c r="Q9" s="193">
        <v>0.5</v>
      </c>
      <c r="R9" s="193">
        <v>0.54166666666666696</v>
      </c>
      <c r="S9" s="189">
        <v>0.58333333333333304</v>
      </c>
      <c r="T9" s="189">
        <v>0.625</v>
      </c>
      <c r="U9" s="189">
        <v>0.66666666666666696</v>
      </c>
      <c r="V9" s="189">
        <v>0.70833333333333304</v>
      </c>
      <c r="W9" s="189">
        <v>0.72916666666666663</v>
      </c>
      <c r="X9" s="189">
        <v>0.75</v>
      </c>
      <c r="Y9" s="189">
        <v>0.77083333333333337</v>
      </c>
      <c r="Z9" s="189">
        <v>0.79166666666666663</v>
      </c>
      <c r="AA9" s="189">
        <v>0.8125</v>
      </c>
      <c r="AB9" s="189">
        <v>0.83333333333333337</v>
      </c>
      <c r="AC9" s="189">
        <v>0.85416666666666663</v>
      </c>
      <c r="AD9" s="189">
        <v>0.875</v>
      </c>
      <c r="AE9" s="189">
        <v>0.91666666666666696</v>
      </c>
      <c r="AF9" s="189">
        <v>0.95833333333333304</v>
      </c>
      <c r="AG9" s="191" t="s">
        <v>1</v>
      </c>
      <c r="AH9" s="42"/>
      <c r="AI9" s="41"/>
      <c r="AL9" s="28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</row>
    <row r="10" spans="1:88" ht="15.75" thickBot="1" x14ac:dyDescent="0.3">
      <c r="A10" s="20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4"/>
      <c r="N10" s="194"/>
      <c r="O10" s="194"/>
      <c r="P10" s="194"/>
      <c r="Q10" s="194"/>
      <c r="R10" s="194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2"/>
      <c r="AH10" s="43"/>
      <c r="AL10" s="28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</row>
    <row r="11" spans="1:88" ht="15.75" thickTop="1" x14ac:dyDescent="0.25">
      <c r="A11" s="44" t="s">
        <v>19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6">
        <v>86</v>
      </c>
      <c r="AH11" s="47">
        <f t="shared" ref="AH11:AH76" si="2">MAX(B11:AF11)</f>
        <v>0</v>
      </c>
      <c r="AI11" s="48">
        <f t="shared" ref="AI11:AI76" si="3">MIN(B11:AF11)</f>
        <v>0</v>
      </c>
      <c r="AL11" s="28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</row>
    <row r="12" spans="1:88" x14ac:dyDescent="0.25">
      <c r="A12" s="44" t="s">
        <v>20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9">
        <v>54</v>
      </c>
      <c r="AH12" s="47">
        <f t="shared" si="2"/>
        <v>0</v>
      </c>
      <c r="AI12" s="48">
        <f t="shared" si="3"/>
        <v>0</v>
      </c>
      <c r="AK12" s="50"/>
      <c r="AL12" s="28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</row>
    <row r="13" spans="1:88" x14ac:dyDescent="0.25">
      <c r="A13" s="44" t="s">
        <v>21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6">
        <v>52.4</v>
      </c>
      <c r="AH13" s="47">
        <f t="shared" si="2"/>
        <v>0</v>
      </c>
      <c r="AI13" s="48">
        <f t="shared" si="3"/>
        <v>0</v>
      </c>
      <c r="AK13" s="50"/>
      <c r="AL13" s="28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</row>
    <row r="14" spans="1:88" x14ac:dyDescent="0.25">
      <c r="A14" s="44" t="s">
        <v>22</v>
      </c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45"/>
      <c r="AA14" s="45"/>
      <c r="AB14" s="45"/>
      <c r="AC14" s="45"/>
      <c r="AD14" s="45"/>
      <c r="AE14" s="45"/>
      <c r="AF14" s="45"/>
      <c r="AG14" s="49">
        <v>50</v>
      </c>
      <c r="AH14" s="47">
        <f t="shared" si="2"/>
        <v>0</v>
      </c>
      <c r="AI14" s="48">
        <f t="shared" si="3"/>
        <v>0</v>
      </c>
      <c r="AK14" s="50"/>
      <c r="AL14" s="28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</row>
    <row r="15" spans="1:88" x14ac:dyDescent="0.25">
      <c r="A15" s="44" t="s">
        <v>23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9">
        <v>45</v>
      </c>
      <c r="AH15" s="47">
        <f t="shared" si="2"/>
        <v>0</v>
      </c>
      <c r="AI15" s="48">
        <f t="shared" si="3"/>
        <v>0</v>
      </c>
      <c r="AK15" s="50"/>
      <c r="AL15" s="28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</row>
    <row r="16" spans="1:88" x14ac:dyDescent="0.25">
      <c r="A16" s="44" t="s">
        <v>24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9">
        <v>44</v>
      </c>
      <c r="AH16" s="47">
        <f>MAX(B16:AG16)</f>
        <v>44</v>
      </c>
      <c r="AI16" s="48">
        <f>MIN(B16:AG16)</f>
        <v>44</v>
      </c>
      <c r="AK16" s="50"/>
      <c r="AL16" s="28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</row>
    <row r="17" spans="1:88" x14ac:dyDescent="0.25">
      <c r="A17" s="44" t="s">
        <v>25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9">
        <v>42</v>
      </c>
      <c r="AH17" s="47">
        <f t="shared" si="2"/>
        <v>0</v>
      </c>
      <c r="AI17" s="48">
        <f t="shared" si="3"/>
        <v>0</v>
      </c>
      <c r="AK17" s="50"/>
      <c r="AL17" s="28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</row>
    <row r="18" spans="1:88" x14ac:dyDescent="0.25">
      <c r="A18" s="44" t="s">
        <v>26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9">
        <v>38.46</v>
      </c>
      <c r="AH18" s="47">
        <f t="shared" si="2"/>
        <v>0</v>
      </c>
      <c r="AI18" s="48">
        <f t="shared" si="3"/>
        <v>0</v>
      </c>
      <c r="AK18" s="50"/>
      <c r="AL18" s="28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</row>
    <row r="19" spans="1:88" x14ac:dyDescent="0.25">
      <c r="A19" s="44" t="s">
        <v>27</v>
      </c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9">
        <v>36</v>
      </c>
      <c r="AH19" s="47">
        <f t="shared" si="2"/>
        <v>0</v>
      </c>
      <c r="AI19" s="48">
        <f t="shared" si="3"/>
        <v>0</v>
      </c>
      <c r="AK19" s="50"/>
      <c r="AL19" s="28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</row>
    <row r="20" spans="1:88" x14ac:dyDescent="0.25">
      <c r="A20" s="44" t="s">
        <v>28</v>
      </c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51">
        <v>30</v>
      </c>
      <c r="AH20" s="47">
        <f t="shared" si="2"/>
        <v>0</v>
      </c>
      <c r="AI20" s="48">
        <f t="shared" si="3"/>
        <v>0</v>
      </c>
      <c r="AK20" s="50"/>
      <c r="AL20" s="28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</row>
    <row r="21" spans="1:88" x14ac:dyDescent="0.25">
      <c r="A21" s="44" t="s">
        <v>29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9">
        <v>24.2</v>
      </c>
      <c r="AH21" s="47">
        <f t="shared" si="2"/>
        <v>0</v>
      </c>
      <c r="AI21" s="48">
        <f t="shared" si="3"/>
        <v>0</v>
      </c>
      <c r="AK21" s="50"/>
      <c r="AL21" s="28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</row>
    <row r="22" spans="1:88" x14ac:dyDescent="0.25">
      <c r="A22" s="44" t="s">
        <v>30</v>
      </c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9">
        <v>28</v>
      </c>
      <c r="AH22" s="47">
        <f t="shared" si="2"/>
        <v>0</v>
      </c>
      <c r="AI22" s="48">
        <f t="shared" si="3"/>
        <v>0</v>
      </c>
      <c r="AK22" s="50"/>
      <c r="AL22" s="28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</row>
    <row r="23" spans="1:88" x14ac:dyDescent="0.25">
      <c r="A23" s="44" t="s">
        <v>31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51">
        <v>30</v>
      </c>
      <c r="AH23" s="47">
        <f t="shared" si="2"/>
        <v>0</v>
      </c>
      <c r="AI23" s="48">
        <f t="shared" si="3"/>
        <v>0</v>
      </c>
      <c r="AK23" s="50"/>
      <c r="AL23" s="28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</row>
    <row r="24" spans="1:88" x14ac:dyDescent="0.25">
      <c r="A24" s="44" t="s">
        <v>32</v>
      </c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9">
        <v>25</v>
      </c>
      <c r="AH24" s="47">
        <f t="shared" si="2"/>
        <v>0</v>
      </c>
      <c r="AI24" s="48">
        <f t="shared" si="3"/>
        <v>0</v>
      </c>
      <c r="AK24" s="50"/>
      <c r="AL24" s="28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</row>
    <row r="25" spans="1:88" x14ac:dyDescent="0.25">
      <c r="A25" s="44" t="s">
        <v>33</v>
      </c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9">
        <v>25</v>
      </c>
      <c r="AH25" s="47">
        <f t="shared" si="2"/>
        <v>0</v>
      </c>
      <c r="AI25" s="48">
        <f t="shared" si="3"/>
        <v>0</v>
      </c>
      <c r="AK25" s="50"/>
      <c r="AL25" s="28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</row>
    <row r="26" spans="1:88" x14ac:dyDescent="0.25">
      <c r="A26" s="44" t="s">
        <v>34</v>
      </c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9">
        <v>25</v>
      </c>
      <c r="AH26" s="47">
        <f t="shared" si="2"/>
        <v>0</v>
      </c>
      <c r="AI26" s="48">
        <f t="shared" si="3"/>
        <v>0</v>
      </c>
      <c r="AK26" s="50"/>
      <c r="AL26" s="28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</row>
    <row r="27" spans="1:88" x14ac:dyDescent="0.25">
      <c r="A27" s="44" t="s">
        <v>35</v>
      </c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9">
        <v>25</v>
      </c>
      <c r="AH27" s="47">
        <f t="shared" si="2"/>
        <v>0</v>
      </c>
      <c r="AI27" s="48">
        <f t="shared" si="3"/>
        <v>0</v>
      </c>
      <c r="AK27" s="50"/>
      <c r="AL27" s="28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</row>
    <row r="28" spans="1:88" x14ac:dyDescent="0.25">
      <c r="A28" s="44" t="s">
        <v>36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9">
        <v>23.5</v>
      </c>
      <c r="AH28" s="47">
        <f t="shared" si="2"/>
        <v>0</v>
      </c>
      <c r="AI28" s="48">
        <f t="shared" si="3"/>
        <v>0</v>
      </c>
      <c r="AK28" s="50"/>
      <c r="AL28" s="28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</row>
    <row r="29" spans="1:88" x14ac:dyDescent="0.25">
      <c r="A29" s="44" t="s">
        <v>37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9">
        <v>22.2</v>
      </c>
      <c r="AH29" s="47">
        <f t="shared" si="2"/>
        <v>0</v>
      </c>
      <c r="AI29" s="48">
        <f t="shared" si="3"/>
        <v>0</v>
      </c>
      <c r="AK29" s="50"/>
      <c r="AL29" s="28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</row>
    <row r="30" spans="1:88" x14ac:dyDescent="0.25">
      <c r="A30" s="44" t="s">
        <v>38</v>
      </c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9">
        <v>22.1</v>
      </c>
      <c r="AH30" s="47">
        <f t="shared" si="2"/>
        <v>0</v>
      </c>
      <c r="AI30" s="48">
        <f t="shared" si="3"/>
        <v>0</v>
      </c>
      <c r="AK30" s="50"/>
      <c r="AL30" s="28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</row>
    <row r="31" spans="1:88" x14ac:dyDescent="0.25">
      <c r="A31" s="44" t="s">
        <v>39</v>
      </c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9">
        <v>22</v>
      </c>
      <c r="AH31" s="47">
        <f t="shared" si="2"/>
        <v>0</v>
      </c>
      <c r="AI31" s="48">
        <f t="shared" si="3"/>
        <v>0</v>
      </c>
      <c r="AK31" s="50"/>
      <c r="AL31" s="28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</row>
    <row r="32" spans="1:88" x14ac:dyDescent="0.25">
      <c r="A32" s="44" t="s">
        <v>40</v>
      </c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9">
        <v>22</v>
      </c>
      <c r="AH32" s="47">
        <f t="shared" si="2"/>
        <v>0</v>
      </c>
      <c r="AI32" s="48">
        <f t="shared" si="3"/>
        <v>0</v>
      </c>
      <c r="AK32" s="50"/>
      <c r="AL32" s="28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</row>
    <row r="33" spans="1:88" x14ac:dyDescent="0.25">
      <c r="A33" s="44" t="s">
        <v>41</v>
      </c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9">
        <v>20</v>
      </c>
      <c r="AH33" s="47">
        <f t="shared" si="2"/>
        <v>0</v>
      </c>
      <c r="AI33" s="48">
        <f t="shared" si="3"/>
        <v>0</v>
      </c>
      <c r="AK33" s="50"/>
      <c r="AL33" s="28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</row>
    <row r="34" spans="1:88" x14ac:dyDescent="0.25">
      <c r="A34" s="44" t="s">
        <v>42</v>
      </c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9">
        <v>18</v>
      </c>
      <c r="AH34" s="47">
        <f t="shared" si="2"/>
        <v>0</v>
      </c>
      <c r="AI34" s="48">
        <f t="shared" si="3"/>
        <v>0</v>
      </c>
      <c r="AK34" s="50"/>
      <c r="AL34" s="28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</row>
    <row r="35" spans="1:88" x14ac:dyDescent="0.25">
      <c r="A35" s="44" t="s">
        <v>43</v>
      </c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9">
        <v>14.9</v>
      </c>
      <c r="AH35" s="47">
        <f t="shared" si="2"/>
        <v>0</v>
      </c>
      <c r="AI35" s="48">
        <f t="shared" si="3"/>
        <v>0</v>
      </c>
      <c r="AK35" s="50"/>
      <c r="AL35" s="28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</row>
    <row r="36" spans="1:88" x14ac:dyDescent="0.25">
      <c r="A36" s="44" t="s">
        <v>44</v>
      </c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9">
        <v>14.9</v>
      </c>
      <c r="AH36" s="47">
        <f t="shared" si="2"/>
        <v>0</v>
      </c>
      <c r="AI36" s="48">
        <f t="shared" si="3"/>
        <v>0</v>
      </c>
      <c r="AK36" s="50"/>
      <c r="AL36" s="28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</row>
    <row r="37" spans="1:88" x14ac:dyDescent="0.25">
      <c r="A37" s="44" t="s">
        <v>45</v>
      </c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9">
        <v>13.6</v>
      </c>
      <c r="AH37" s="47">
        <f t="shared" si="2"/>
        <v>0</v>
      </c>
      <c r="AI37" s="48">
        <f t="shared" si="3"/>
        <v>0</v>
      </c>
      <c r="AK37" s="50"/>
      <c r="AL37" s="28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</row>
    <row r="38" spans="1:88" x14ac:dyDescent="0.25">
      <c r="A38" s="44" t="s">
        <v>46</v>
      </c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9">
        <v>13</v>
      </c>
      <c r="AH38" s="47">
        <f t="shared" si="2"/>
        <v>0</v>
      </c>
      <c r="AI38" s="48">
        <f t="shared" si="3"/>
        <v>0</v>
      </c>
      <c r="AK38" s="50"/>
      <c r="AL38" s="28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</row>
    <row r="39" spans="1:88" x14ac:dyDescent="0.25">
      <c r="A39" s="44" t="s">
        <v>47</v>
      </c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9">
        <v>12</v>
      </c>
      <c r="AH39" s="47">
        <f t="shared" si="2"/>
        <v>0</v>
      </c>
      <c r="AI39" s="48">
        <f t="shared" si="3"/>
        <v>0</v>
      </c>
      <c r="AK39" s="50"/>
      <c r="AL39" s="28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</row>
    <row r="40" spans="1:88" x14ac:dyDescent="0.25">
      <c r="A40" s="44" t="s">
        <v>48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9">
        <v>12</v>
      </c>
      <c r="AH40" s="47">
        <f t="shared" si="2"/>
        <v>0</v>
      </c>
      <c r="AI40" s="48">
        <f t="shared" si="3"/>
        <v>0</v>
      </c>
      <c r="AK40" s="50"/>
      <c r="AL40" s="28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</row>
    <row r="41" spans="1:88" x14ac:dyDescent="0.25">
      <c r="A41" s="44" t="s">
        <v>49</v>
      </c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9">
        <v>12</v>
      </c>
      <c r="AH41" s="47">
        <f t="shared" si="2"/>
        <v>0</v>
      </c>
      <c r="AI41" s="48">
        <f t="shared" si="3"/>
        <v>0</v>
      </c>
      <c r="AK41" s="50"/>
      <c r="AL41" s="28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</row>
    <row r="42" spans="1:88" ht="14.25" customHeight="1" x14ac:dyDescent="0.25">
      <c r="A42" s="44" t="s">
        <v>50</v>
      </c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52">
        <v>22</v>
      </c>
      <c r="AH42" s="47">
        <f t="shared" si="2"/>
        <v>0</v>
      </c>
      <c r="AI42" s="48">
        <f t="shared" si="3"/>
        <v>0</v>
      </c>
      <c r="AK42" s="50"/>
      <c r="AL42" s="28"/>
      <c r="AM42" s="24"/>
      <c r="AN42" s="24"/>
      <c r="AO42" s="24"/>
      <c r="AP42" s="24"/>
      <c r="AQ42" s="15"/>
      <c r="AR42" s="21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</row>
    <row r="43" spans="1:88" ht="14.25" customHeight="1" x14ac:dyDescent="0.25">
      <c r="A43" s="44" t="s">
        <v>51</v>
      </c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51">
        <v>11.88</v>
      </c>
      <c r="AH43" s="47">
        <f t="shared" si="2"/>
        <v>0</v>
      </c>
      <c r="AI43" s="48">
        <f t="shared" si="3"/>
        <v>0</v>
      </c>
      <c r="AK43" s="50"/>
      <c r="AL43" s="28"/>
      <c r="AM43" s="24"/>
      <c r="AN43" s="24"/>
      <c r="AO43" s="24"/>
      <c r="AP43" s="24"/>
      <c r="AQ43" s="15"/>
      <c r="AR43" s="21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</row>
    <row r="44" spans="1:88" ht="14.25" customHeight="1" x14ac:dyDescent="0.25">
      <c r="A44" s="53" t="s">
        <v>52</v>
      </c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54">
        <v>11</v>
      </c>
      <c r="AH44" s="47">
        <f t="shared" si="2"/>
        <v>0</v>
      </c>
      <c r="AI44" s="48">
        <f t="shared" si="3"/>
        <v>0</v>
      </c>
      <c r="AK44" s="50"/>
      <c r="AL44" s="28"/>
      <c r="AM44" s="24"/>
      <c r="AN44" s="24"/>
      <c r="AO44" s="24"/>
      <c r="AP44" s="24"/>
      <c r="AQ44" s="15"/>
      <c r="AR44" s="21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</row>
    <row r="45" spans="1:88" ht="14.25" customHeight="1" x14ac:dyDescent="0.25">
      <c r="A45" s="53" t="s">
        <v>53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54">
        <v>10</v>
      </c>
      <c r="AH45" s="47">
        <f t="shared" si="2"/>
        <v>0</v>
      </c>
      <c r="AI45" s="48">
        <f t="shared" si="3"/>
        <v>0</v>
      </c>
      <c r="AK45" s="50"/>
      <c r="AL45" s="28"/>
      <c r="AM45" s="24"/>
      <c r="AN45" s="24"/>
      <c r="AO45" s="24"/>
      <c r="AP45" s="24"/>
      <c r="AQ45" s="15"/>
      <c r="AR45" s="21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</row>
    <row r="46" spans="1:88" x14ac:dyDescent="0.25">
      <c r="A46" s="53" t="s">
        <v>54</v>
      </c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54">
        <v>10</v>
      </c>
      <c r="AH46" s="47">
        <f t="shared" si="2"/>
        <v>0</v>
      </c>
      <c r="AI46" s="48">
        <f t="shared" si="3"/>
        <v>0</v>
      </c>
      <c r="AK46" s="50"/>
      <c r="AL46" s="28"/>
      <c r="AO46" s="24"/>
      <c r="AP46" s="24"/>
      <c r="AQ46" s="15"/>
      <c r="AR46" s="21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</row>
    <row r="47" spans="1:88" x14ac:dyDescent="0.25">
      <c r="A47" s="53" t="s">
        <v>55</v>
      </c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54">
        <v>10</v>
      </c>
      <c r="AH47" s="47">
        <f t="shared" si="2"/>
        <v>0</v>
      </c>
      <c r="AI47" s="48">
        <f t="shared" si="3"/>
        <v>0</v>
      </c>
      <c r="AK47" s="50"/>
      <c r="AL47" s="28"/>
      <c r="AO47" s="24"/>
      <c r="AP47" s="24"/>
      <c r="AQ47" s="15"/>
      <c r="AR47" s="21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</row>
    <row r="48" spans="1:88" x14ac:dyDescent="0.25">
      <c r="A48" s="55" t="s">
        <v>56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4">
        <v>85</v>
      </c>
      <c r="AH48" s="47">
        <f t="shared" si="2"/>
        <v>0</v>
      </c>
      <c r="AI48" s="48">
        <f t="shared" si="3"/>
        <v>0</v>
      </c>
      <c r="AK48" s="50"/>
    </row>
    <row r="49" spans="1:41" ht="15.75" thickBot="1" x14ac:dyDescent="0.3">
      <c r="A49" s="57" t="s">
        <v>57</v>
      </c>
      <c r="B49" s="56"/>
      <c r="C49" s="56"/>
      <c r="D49" s="56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6"/>
      <c r="Y49" s="56"/>
      <c r="Z49" s="56"/>
      <c r="AA49" s="56"/>
      <c r="AB49" s="56"/>
      <c r="AC49" s="56"/>
      <c r="AD49" s="56"/>
      <c r="AE49" s="56"/>
      <c r="AF49" s="56"/>
      <c r="AG49" s="54">
        <v>240</v>
      </c>
      <c r="AH49" s="47">
        <f t="shared" si="2"/>
        <v>0</v>
      </c>
      <c r="AI49" s="48">
        <f t="shared" si="3"/>
        <v>0</v>
      </c>
      <c r="AK49" s="50"/>
    </row>
    <row r="50" spans="1:41" ht="15.75" thickBot="1" x14ac:dyDescent="0.3">
      <c r="A50" s="59" t="s">
        <v>58</v>
      </c>
      <c r="B50" s="60">
        <f t="shared" ref="B50:AF50" si="4">SUM(B11:B48)</f>
        <v>0</v>
      </c>
      <c r="C50" s="60">
        <f t="shared" si="4"/>
        <v>0</v>
      </c>
      <c r="D50" s="60">
        <f t="shared" si="4"/>
        <v>0</v>
      </c>
      <c r="E50" s="60">
        <f t="shared" si="4"/>
        <v>0</v>
      </c>
      <c r="F50" s="60">
        <f t="shared" si="4"/>
        <v>0</v>
      </c>
      <c r="G50" s="60">
        <f t="shared" si="4"/>
        <v>0</v>
      </c>
      <c r="H50" s="60">
        <f t="shared" si="4"/>
        <v>0</v>
      </c>
      <c r="I50" s="60">
        <f t="shared" si="4"/>
        <v>0</v>
      </c>
      <c r="J50" s="60">
        <f t="shared" si="4"/>
        <v>0</v>
      </c>
      <c r="K50" s="60">
        <f t="shared" si="4"/>
        <v>0</v>
      </c>
      <c r="L50" s="60">
        <f t="shared" si="4"/>
        <v>0</v>
      </c>
      <c r="M50" s="60">
        <f t="shared" si="4"/>
        <v>0</v>
      </c>
      <c r="N50" s="60">
        <f t="shared" si="4"/>
        <v>0</v>
      </c>
      <c r="O50" s="60">
        <f t="shared" si="4"/>
        <v>0</v>
      </c>
      <c r="P50" s="60">
        <f t="shared" si="4"/>
        <v>0</v>
      </c>
      <c r="Q50" s="60">
        <f t="shared" si="4"/>
        <v>0</v>
      </c>
      <c r="R50" s="60">
        <f t="shared" si="4"/>
        <v>0</v>
      </c>
      <c r="S50" s="60">
        <f t="shared" si="4"/>
        <v>0</v>
      </c>
      <c r="T50" s="60">
        <f t="shared" si="4"/>
        <v>0</v>
      </c>
      <c r="U50" s="60">
        <f t="shared" si="4"/>
        <v>0</v>
      </c>
      <c r="V50" s="60">
        <f t="shared" si="4"/>
        <v>0</v>
      </c>
      <c r="W50" s="60">
        <f t="shared" si="4"/>
        <v>0</v>
      </c>
      <c r="X50" s="60">
        <f t="shared" si="4"/>
        <v>0</v>
      </c>
      <c r="Y50" s="60">
        <f t="shared" si="4"/>
        <v>0</v>
      </c>
      <c r="Z50" s="60">
        <f t="shared" si="4"/>
        <v>0</v>
      </c>
      <c r="AA50" s="60">
        <f t="shared" si="4"/>
        <v>0</v>
      </c>
      <c r="AB50" s="60">
        <f t="shared" si="4"/>
        <v>0</v>
      </c>
      <c r="AC50" s="60">
        <f t="shared" si="4"/>
        <v>0</v>
      </c>
      <c r="AD50" s="60">
        <f t="shared" si="4"/>
        <v>0</v>
      </c>
      <c r="AE50" s="60">
        <f t="shared" si="4"/>
        <v>0</v>
      </c>
      <c r="AF50" s="60">
        <f t="shared" si="4"/>
        <v>0</v>
      </c>
      <c r="AG50" s="61">
        <f>SUM(AG13:AG48)</f>
        <v>922.14</v>
      </c>
      <c r="AH50" s="47">
        <f t="shared" si="2"/>
        <v>0</v>
      </c>
      <c r="AI50" s="48">
        <f t="shared" si="3"/>
        <v>0</v>
      </c>
      <c r="AK50" s="50"/>
    </row>
    <row r="51" spans="1:41" x14ac:dyDescent="0.25">
      <c r="A51" s="62" t="s">
        <v>59</v>
      </c>
      <c r="B51" s="45">
        <v>300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175"/>
      <c r="O51" s="175"/>
      <c r="P51" s="175"/>
      <c r="Q51" s="175"/>
      <c r="R51" s="17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51">
        <v>456</v>
      </c>
      <c r="AH51" s="47">
        <f t="shared" si="2"/>
        <v>300</v>
      </c>
      <c r="AI51" s="48">
        <f t="shared" si="3"/>
        <v>300</v>
      </c>
      <c r="AK51" s="50"/>
    </row>
    <row r="52" spans="1:41" x14ac:dyDescent="0.25">
      <c r="A52" s="63" t="s">
        <v>60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54">
        <v>60</v>
      </c>
      <c r="AH52" s="47">
        <f t="shared" si="2"/>
        <v>0</v>
      </c>
      <c r="AI52" s="48">
        <f t="shared" si="3"/>
        <v>0</v>
      </c>
      <c r="AK52" s="50"/>
    </row>
    <row r="53" spans="1:41" ht="15.75" thickBot="1" x14ac:dyDescent="0.3">
      <c r="A53" s="65" t="s">
        <v>61</v>
      </c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7">
        <v>22.1</v>
      </c>
      <c r="AH53" s="47">
        <f t="shared" si="2"/>
        <v>0</v>
      </c>
      <c r="AI53" s="48">
        <f t="shared" si="3"/>
        <v>0</v>
      </c>
      <c r="AK53" s="50"/>
    </row>
    <row r="54" spans="1:41" ht="15.75" thickBot="1" x14ac:dyDescent="0.3">
      <c r="A54" s="68" t="s">
        <v>62</v>
      </c>
      <c r="B54" s="60">
        <f t="shared" ref="B54:AG54" si="5">SUM(B51:B53)</f>
        <v>300</v>
      </c>
      <c r="C54" s="60">
        <f t="shared" si="5"/>
        <v>0</v>
      </c>
      <c r="D54" s="60">
        <f t="shared" si="5"/>
        <v>0</v>
      </c>
      <c r="E54" s="60">
        <f t="shared" si="5"/>
        <v>0</v>
      </c>
      <c r="F54" s="60">
        <f t="shared" si="5"/>
        <v>0</v>
      </c>
      <c r="G54" s="60">
        <f t="shared" si="5"/>
        <v>0</v>
      </c>
      <c r="H54" s="60">
        <f t="shared" si="5"/>
        <v>0</v>
      </c>
      <c r="I54" s="60">
        <f t="shared" si="5"/>
        <v>0</v>
      </c>
      <c r="J54" s="60">
        <f t="shared" si="5"/>
        <v>0</v>
      </c>
      <c r="K54" s="60">
        <f t="shared" si="5"/>
        <v>0</v>
      </c>
      <c r="L54" s="60">
        <f t="shared" si="5"/>
        <v>0</v>
      </c>
      <c r="M54" s="60">
        <f t="shared" si="5"/>
        <v>0</v>
      </c>
      <c r="N54" s="60">
        <f t="shared" si="5"/>
        <v>0</v>
      </c>
      <c r="O54" s="60">
        <f t="shared" si="5"/>
        <v>0</v>
      </c>
      <c r="P54" s="60">
        <f t="shared" si="5"/>
        <v>0</v>
      </c>
      <c r="Q54" s="60">
        <f t="shared" si="5"/>
        <v>0</v>
      </c>
      <c r="R54" s="60">
        <f t="shared" si="5"/>
        <v>0</v>
      </c>
      <c r="S54" s="60">
        <f t="shared" si="5"/>
        <v>0</v>
      </c>
      <c r="T54" s="60">
        <f t="shared" si="5"/>
        <v>0</v>
      </c>
      <c r="U54" s="60">
        <f t="shared" si="5"/>
        <v>0</v>
      </c>
      <c r="V54" s="60">
        <f t="shared" si="5"/>
        <v>0</v>
      </c>
      <c r="W54" s="60">
        <f t="shared" si="5"/>
        <v>0</v>
      </c>
      <c r="X54" s="60">
        <f t="shared" si="5"/>
        <v>0</v>
      </c>
      <c r="Y54" s="60">
        <f t="shared" si="5"/>
        <v>0</v>
      </c>
      <c r="Z54" s="60">
        <f t="shared" si="5"/>
        <v>0</v>
      </c>
      <c r="AA54" s="60">
        <f t="shared" si="5"/>
        <v>0</v>
      </c>
      <c r="AB54" s="60">
        <f t="shared" si="5"/>
        <v>0</v>
      </c>
      <c r="AC54" s="60">
        <f t="shared" si="5"/>
        <v>0</v>
      </c>
      <c r="AD54" s="60">
        <f t="shared" si="5"/>
        <v>0</v>
      </c>
      <c r="AE54" s="60">
        <f t="shared" si="5"/>
        <v>0</v>
      </c>
      <c r="AF54" s="60">
        <f t="shared" si="5"/>
        <v>0</v>
      </c>
      <c r="AG54" s="61">
        <f t="shared" si="5"/>
        <v>538.1</v>
      </c>
      <c r="AH54" s="47">
        <f t="shared" si="2"/>
        <v>300</v>
      </c>
      <c r="AI54" s="48">
        <f t="shared" si="3"/>
        <v>0</v>
      </c>
      <c r="AK54" s="50"/>
    </row>
    <row r="55" spans="1:41" x14ac:dyDescent="0.25">
      <c r="A55" s="44" t="s">
        <v>63</v>
      </c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51">
        <v>144</v>
      </c>
      <c r="AH55" s="47">
        <f t="shared" si="2"/>
        <v>0</v>
      </c>
      <c r="AI55" s="48">
        <f t="shared" si="3"/>
        <v>0</v>
      </c>
      <c r="AK55" s="50"/>
    </row>
    <row r="56" spans="1:41" x14ac:dyDescent="0.25">
      <c r="A56" s="53" t="s">
        <v>64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64"/>
      <c r="AE56" s="45"/>
      <c r="AF56" s="45"/>
      <c r="AG56" s="54">
        <v>70</v>
      </c>
      <c r="AH56" s="47">
        <f t="shared" si="2"/>
        <v>0</v>
      </c>
      <c r="AI56" s="48">
        <f t="shared" si="3"/>
        <v>0</v>
      </c>
      <c r="AK56" s="50"/>
    </row>
    <row r="57" spans="1:41" x14ac:dyDescent="0.25">
      <c r="A57" s="53" t="s">
        <v>65</v>
      </c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64"/>
      <c r="AE57" s="45"/>
      <c r="AF57" s="45"/>
      <c r="AG57" s="54">
        <v>69</v>
      </c>
      <c r="AH57" s="47">
        <f t="shared" si="2"/>
        <v>0</v>
      </c>
      <c r="AI57" s="48">
        <f t="shared" si="3"/>
        <v>0</v>
      </c>
      <c r="AK57" s="50"/>
    </row>
    <row r="58" spans="1:41" x14ac:dyDescent="0.25">
      <c r="A58" s="53" t="s">
        <v>66</v>
      </c>
      <c r="B58" s="64"/>
      <c r="C58" s="64"/>
      <c r="D58" s="64"/>
      <c r="E58" s="56"/>
      <c r="F58" s="56"/>
      <c r="G58" s="56"/>
      <c r="H58" s="56"/>
      <c r="I58" s="56"/>
      <c r="J58" s="56"/>
      <c r="K58" s="56"/>
      <c r="L58" s="56"/>
      <c r="M58" s="64"/>
      <c r="N58" s="64"/>
      <c r="O58" s="64"/>
      <c r="P58" s="64"/>
      <c r="Q58" s="64"/>
      <c r="R58" s="64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64"/>
      <c r="AE58" s="45"/>
      <c r="AF58" s="45"/>
      <c r="AG58" s="54">
        <v>60</v>
      </c>
      <c r="AH58" s="47">
        <f t="shared" si="2"/>
        <v>0</v>
      </c>
      <c r="AI58" s="48">
        <f t="shared" si="3"/>
        <v>0</v>
      </c>
      <c r="AK58" s="50"/>
    </row>
    <row r="59" spans="1:41" x14ac:dyDescent="0.25">
      <c r="A59" s="53" t="s">
        <v>67</v>
      </c>
      <c r="B59" s="64"/>
      <c r="C59" s="64"/>
      <c r="D59" s="64"/>
      <c r="E59" s="56"/>
      <c r="F59" s="56"/>
      <c r="G59" s="56"/>
      <c r="H59" s="56"/>
      <c r="I59" s="56"/>
      <c r="J59" s="56"/>
      <c r="K59" s="56"/>
      <c r="L59" s="56"/>
      <c r="M59" s="64"/>
      <c r="N59" s="64"/>
      <c r="O59" s="64"/>
      <c r="P59" s="64"/>
      <c r="Q59" s="64"/>
      <c r="R59" s="64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64"/>
      <c r="AE59" s="45"/>
      <c r="AF59" s="45"/>
      <c r="AG59" s="54">
        <v>30</v>
      </c>
      <c r="AH59" s="47">
        <f t="shared" si="2"/>
        <v>0</v>
      </c>
      <c r="AI59" s="48">
        <f t="shared" si="3"/>
        <v>0</v>
      </c>
      <c r="AK59" s="50"/>
    </row>
    <row r="60" spans="1:41" x14ac:dyDescent="0.25">
      <c r="A60" s="53" t="s">
        <v>68</v>
      </c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64"/>
      <c r="AE60" s="45"/>
      <c r="AF60" s="45"/>
      <c r="AG60" s="54">
        <v>25</v>
      </c>
      <c r="AH60" s="47">
        <f t="shared" si="2"/>
        <v>0</v>
      </c>
      <c r="AI60" s="48">
        <f t="shared" si="3"/>
        <v>0</v>
      </c>
      <c r="AK60" s="50"/>
    </row>
    <row r="61" spans="1:41" x14ac:dyDescent="0.25">
      <c r="A61" s="53" t="s">
        <v>69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54">
        <v>24</v>
      </c>
      <c r="AH61" s="47">
        <f t="shared" si="2"/>
        <v>0</v>
      </c>
      <c r="AI61" s="48">
        <f t="shared" si="3"/>
        <v>0</v>
      </c>
      <c r="AK61" s="50"/>
    </row>
    <row r="62" spans="1:41" x14ac:dyDescent="0.25">
      <c r="A62" s="53" t="s">
        <v>70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54">
        <v>15</v>
      </c>
      <c r="AH62" s="47">
        <f t="shared" si="2"/>
        <v>0</v>
      </c>
      <c r="AI62" s="48">
        <f t="shared" si="3"/>
        <v>0</v>
      </c>
      <c r="AK62" s="50"/>
      <c r="AL62" s="69"/>
      <c r="AO62" s="69"/>
    </row>
    <row r="63" spans="1:41" s="69" customFormat="1" x14ac:dyDescent="0.25">
      <c r="A63" s="53" t="s">
        <v>71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54">
        <v>14.1</v>
      </c>
      <c r="AH63" s="47">
        <f t="shared" si="2"/>
        <v>0</v>
      </c>
      <c r="AI63" s="48">
        <f t="shared" si="3"/>
        <v>0</v>
      </c>
      <c r="AJ63" s="1"/>
      <c r="AK63" s="50"/>
      <c r="AL63" s="1"/>
      <c r="AM63" s="1"/>
      <c r="AN63" s="1"/>
      <c r="AO63" s="1"/>
    </row>
    <row r="64" spans="1:41" x14ac:dyDescent="0.25">
      <c r="A64" s="70" t="s">
        <v>72</v>
      </c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54">
        <v>14</v>
      </c>
      <c r="AH64" s="47">
        <f t="shared" si="2"/>
        <v>0</v>
      </c>
      <c r="AI64" s="48">
        <f t="shared" si="3"/>
        <v>0</v>
      </c>
      <c r="AK64" s="50"/>
    </row>
    <row r="65" spans="1:40" x14ac:dyDescent="0.25">
      <c r="A65" s="53" t="s">
        <v>73</v>
      </c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54">
        <v>10.050000000000001</v>
      </c>
      <c r="AH65" s="47">
        <f t="shared" si="2"/>
        <v>0</v>
      </c>
      <c r="AI65" s="48">
        <f t="shared" si="3"/>
        <v>0</v>
      </c>
      <c r="AK65" s="50"/>
    </row>
    <row r="66" spans="1:40" x14ac:dyDescent="0.25">
      <c r="A66" s="53" t="s">
        <v>74</v>
      </c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54">
        <v>6.2</v>
      </c>
      <c r="AH66" s="47">
        <f t="shared" si="2"/>
        <v>0</v>
      </c>
      <c r="AI66" s="48">
        <f t="shared" si="3"/>
        <v>0</v>
      </c>
      <c r="AK66" s="50"/>
    </row>
    <row r="67" spans="1:40" ht="15.75" thickBot="1" x14ac:dyDescent="0.3">
      <c r="A67" s="55" t="s">
        <v>75</v>
      </c>
      <c r="B67" s="71">
        <v>3.54</v>
      </c>
      <c r="C67" s="71">
        <v>3.54</v>
      </c>
      <c r="D67" s="71">
        <v>3.54</v>
      </c>
      <c r="E67" s="71">
        <v>3.54</v>
      </c>
      <c r="F67" s="71">
        <v>3.54</v>
      </c>
      <c r="G67" s="71">
        <v>3.54</v>
      </c>
      <c r="H67" s="71">
        <v>3.54</v>
      </c>
      <c r="I67" s="71">
        <v>3.54</v>
      </c>
      <c r="J67" s="71">
        <v>3.54</v>
      </c>
      <c r="K67" s="71">
        <v>3.54</v>
      </c>
      <c r="L67" s="71">
        <v>3.54</v>
      </c>
      <c r="M67" s="71">
        <v>3.54</v>
      </c>
      <c r="N67" s="71">
        <v>3.54</v>
      </c>
      <c r="O67" s="71">
        <v>3.54</v>
      </c>
      <c r="P67" s="71">
        <v>3.54</v>
      </c>
      <c r="Q67" s="71">
        <v>3.54</v>
      </c>
      <c r="R67" s="71">
        <v>3.54</v>
      </c>
      <c r="S67" s="71">
        <v>3.54</v>
      </c>
      <c r="T67" s="71">
        <v>3.54</v>
      </c>
      <c r="U67" s="71">
        <v>3.54</v>
      </c>
      <c r="V67" s="71">
        <v>3.54</v>
      </c>
      <c r="W67" s="71">
        <v>3.54</v>
      </c>
      <c r="X67" s="71">
        <v>3.54</v>
      </c>
      <c r="Y67" s="71">
        <v>3.54</v>
      </c>
      <c r="Z67" s="71">
        <v>3.54</v>
      </c>
      <c r="AA67" s="71">
        <v>3.54</v>
      </c>
      <c r="AB67" s="71">
        <v>3.54</v>
      </c>
      <c r="AC67" s="71">
        <v>3.54</v>
      </c>
      <c r="AD67" s="71">
        <v>3.54</v>
      </c>
      <c r="AE67" s="71">
        <v>3.54</v>
      </c>
      <c r="AF67" s="71">
        <v>3.54</v>
      </c>
      <c r="AG67" s="72">
        <f>AG235</f>
        <v>8.56</v>
      </c>
      <c r="AH67" s="47">
        <f t="shared" si="2"/>
        <v>3.54</v>
      </c>
      <c r="AI67" s="48">
        <f t="shared" si="3"/>
        <v>3.54</v>
      </c>
      <c r="AK67" s="50"/>
    </row>
    <row r="68" spans="1:40" ht="15.75" thickBot="1" x14ac:dyDescent="0.3">
      <c r="A68" s="73" t="s">
        <v>76</v>
      </c>
      <c r="B68" s="60">
        <f t="shared" ref="B68:AG68" si="6">SUM(B55:B67)</f>
        <v>3.54</v>
      </c>
      <c r="C68" s="60">
        <f t="shared" si="6"/>
        <v>3.54</v>
      </c>
      <c r="D68" s="60">
        <f t="shared" si="6"/>
        <v>3.54</v>
      </c>
      <c r="E68" s="60">
        <f t="shared" si="6"/>
        <v>3.54</v>
      </c>
      <c r="F68" s="60">
        <f t="shared" si="6"/>
        <v>3.54</v>
      </c>
      <c r="G68" s="60">
        <f t="shared" si="6"/>
        <v>3.54</v>
      </c>
      <c r="H68" s="60">
        <f t="shared" si="6"/>
        <v>3.54</v>
      </c>
      <c r="I68" s="60">
        <f t="shared" si="6"/>
        <v>3.54</v>
      </c>
      <c r="J68" s="60">
        <f t="shared" si="6"/>
        <v>3.54</v>
      </c>
      <c r="K68" s="60">
        <f t="shared" si="6"/>
        <v>3.54</v>
      </c>
      <c r="L68" s="60">
        <f t="shared" si="6"/>
        <v>3.54</v>
      </c>
      <c r="M68" s="60">
        <f t="shared" si="6"/>
        <v>3.54</v>
      </c>
      <c r="N68" s="60">
        <f t="shared" si="6"/>
        <v>3.54</v>
      </c>
      <c r="O68" s="60">
        <f t="shared" si="6"/>
        <v>3.54</v>
      </c>
      <c r="P68" s="60">
        <f t="shared" si="6"/>
        <v>3.54</v>
      </c>
      <c r="Q68" s="60">
        <f t="shared" si="6"/>
        <v>3.54</v>
      </c>
      <c r="R68" s="60">
        <f t="shared" si="6"/>
        <v>3.54</v>
      </c>
      <c r="S68" s="60">
        <f t="shared" si="6"/>
        <v>3.54</v>
      </c>
      <c r="T68" s="60">
        <f t="shared" si="6"/>
        <v>3.54</v>
      </c>
      <c r="U68" s="60">
        <f t="shared" si="6"/>
        <v>3.54</v>
      </c>
      <c r="V68" s="60">
        <f t="shared" si="6"/>
        <v>3.54</v>
      </c>
      <c r="W68" s="60">
        <f t="shared" si="6"/>
        <v>3.54</v>
      </c>
      <c r="X68" s="60">
        <f t="shared" si="6"/>
        <v>3.54</v>
      </c>
      <c r="Y68" s="60">
        <f t="shared" si="6"/>
        <v>3.54</v>
      </c>
      <c r="Z68" s="60">
        <f t="shared" si="6"/>
        <v>3.54</v>
      </c>
      <c r="AA68" s="60">
        <f t="shared" si="6"/>
        <v>3.54</v>
      </c>
      <c r="AB68" s="60">
        <f t="shared" si="6"/>
        <v>3.54</v>
      </c>
      <c r="AC68" s="60">
        <f t="shared" si="6"/>
        <v>3.54</v>
      </c>
      <c r="AD68" s="60">
        <f t="shared" si="6"/>
        <v>3.54</v>
      </c>
      <c r="AE68" s="60">
        <f t="shared" si="6"/>
        <v>3.54</v>
      </c>
      <c r="AF68" s="60">
        <f t="shared" si="6"/>
        <v>3.54</v>
      </c>
      <c r="AG68" s="61">
        <f t="shared" si="6"/>
        <v>489.91</v>
      </c>
      <c r="AH68" s="47">
        <f t="shared" si="2"/>
        <v>3.54</v>
      </c>
      <c r="AI68" s="48">
        <f t="shared" si="3"/>
        <v>3.54</v>
      </c>
      <c r="AK68" s="50"/>
    </row>
    <row r="69" spans="1:40" x14ac:dyDescent="0.25">
      <c r="A69" s="44" t="s">
        <v>77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51">
        <v>60</v>
      </c>
      <c r="AH69" s="47">
        <f t="shared" si="2"/>
        <v>0</v>
      </c>
      <c r="AI69" s="48">
        <f t="shared" si="3"/>
        <v>0</v>
      </c>
      <c r="AK69" s="50"/>
    </row>
    <row r="70" spans="1:40" x14ac:dyDescent="0.25">
      <c r="A70" s="53" t="s">
        <v>78</v>
      </c>
      <c r="B70" s="45"/>
      <c r="C70" s="45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54">
        <v>32</v>
      </c>
      <c r="AH70" s="47">
        <f t="shared" si="2"/>
        <v>0</v>
      </c>
      <c r="AI70" s="48">
        <f t="shared" si="3"/>
        <v>0</v>
      </c>
      <c r="AK70" s="50"/>
    </row>
    <row r="71" spans="1:40" ht="15.75" thickBot="1" x14ac:dyDescent="0.3">
      <c r="A71" s="70" t="s">
        <v>79</v>
      </c>
      <c r="B71" s="45"/>
      <c r="C71" s="45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7">
        <v>14</v>
      </c>
      <c r="AH71" s="47">
        <f t="shared" si="2"/>
        <v>0</v>
      </c>
      <c r="AI71" s="48">
        <f t="shared" si="3"/>
        <v>0</v>
      </c>
      <c r="AK71" s="50"/>
    </row>
    <row r="72" spans="1:40" ht="15.75" thickBot="1" x14ac:dyDescent="0.3">
      <c r="A72" s="73" t="s">
        <v>80</v>
      </c>
      <c r="B72" s="60">
        <f>B69+B70+B71</f>
        <v>0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60">
        <v>0</v>
      </c>
      <c r="I72" s="60">
        <v>0</v>
      </c>
      <c r="J72" s="60">
        <v>0</v>
      </c>
      <c r="K72" s="60">
        <v>0</v>
      </c>
      <c r="L72" s="60">
        <f>L69+L70+L71</f>
        <v>0</v>
      </c>
      <c r="M72" s="60">
        <f t="shared" ref="M72:AF72" si="7">M69+M70+M71</f>
        <v>0</v>
      </c>
      <c r="N72" s="60">
        <f t="shared" si="7"/>
        <v>0</v>
      </c>
      <c r="O72" s="60">
        <f t="shared" si="7"/>
        <v>0</v>
      </c>
      <c r="P72" s="60">
        <f t="shared" si="7"/>
        <v>0</v>
      </c>
      <c r="Q72" s="60">
        <f t="shared" si="7"/>
        <v>0</v>
      </c>
      <c r="R72" s="60">
        <f t="shared" si="7"/>
        <v>0</v>
      </c>
      <c r="S72" s="60">
        <f t="shared" si="7"/>
        <v>0</v>
      </c>
      <c r="T72" s="60">
        <f t="shared" si="7"/>
        <v>0</v>
      </c>
      <c r="U72" s="60">
        <f t="shared" si="7"/>
        <v>0</v>
      </c>
      <c r="V72" s="60">
        <f t="shared" si="7"/>
        <v>0</v>
      </c>
      <c r="W72" s="60">
        <f t="shared" si="7"/>
        <v>0</v>
      </c>
      <c r="X72" s="60">
        <f t="shared" si="7"/>
        <v>0</v>
      </c>
      <c r="Y72" s="60">
        <f t="shared" si="7"/>
        <v>0</v>
      </c>
      <c r="Z72" s="60">
        <f t="shared" si="7"/>
        <v>0</v>
      </c>
      <c r="AA72" s="60">
        <f t="shared" si="7"/>
        <v>0</v>
      </c>
      <c r="AB72" s="60">
        <f t="shared" si="7"/>
        <v>0</v>
      </c>
      <c r="AC72" s="60">
        <f t="shared" si="7"/>
        <v>0</v>
      </c>
      <c r="AD72" s="60">
        <f t="shared" si="7"/>
        <v>0</v>
      </c>
      <c r="AE72" s="60">
        <f t="shared" si="7"/>
        <v>0</v>
      </c>
      <c r="AF72" s="60">
        <f t="shared" si="7"/>
        <v>0</v>
      </c>
      <c r="AG72" s="61">
        <f>SUM(AG69:AG71)</f>
        <v>106</v>
      </c>
      <c r="AH72" s="47">
        <f t="shared" si="2"/>
        <v>0</v>
      </c>
      <c r="AI72" s="48">
        <f t="shared" si="3"/>
        <v>0</v>
      </c>
      <c r="AK72" s="50"/>
    </row>
    <row r="73" spans="1:40" x14ac:dyDescent="0.25">
      <c r="A73" s="44" t="s">
        <v>81</v>
      </c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51"/>
      <c r="AH73" s="47">
        <f t="shared" si="2"/>
        <v>0</v>
      </c>
      <c r="AI73" s="48">
        <f t="shared" si="3"/>
        <v>0</v>
      </c>
      <c r="AK73" s="50"/>
    </row>
    <row r="74" spans="1:40" x14ac:dyDescent="0.25">
      <c r="A74" s="53" t="s">
        <v>82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54"/>
      <c r="AH74" s="47">
        <f t="shared" si="2"/>
        <v>0</v>
      </c>
      <c r="AI74" s="48">
        <f t="shared" si="3"/>
        <v>0</v>
      </c>
      <c r="AK74" s="50"/>
    </row>
    <row r="75" spans="1:40" x14ac:dyDescent="0.25">
      <c r="A75" s="53" t="s">
        <v>83</v>
      </c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74"/>
      <c r="AH75" s="47">
        <f t="shared" si="2"/>
        <v>0</v>
      </c>
      <c r="AI75" s="48">
        <f t="shared" si="3"/>
        <v>0</v>
      </c>
      <c r="AK75" s="50"/>
    </row>
    <row r="76" spans="1:40" x14ac:dyDescent="0.25">
      <c r="A76" s="53" t="s">
        <v>84</v>
      </c>
      <c r="B76" s="64"/>
      <c r="C76" s="64"/>
      <c r="D76" s="64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64"/>
      <c r="AE76" s="75"/>
      <c r="AF76" s="75"/>
      <c r="AG76" s="74"/>
      <c r="AH76" s="47">
        <f t="shared" si="2"/>
        <v>0</v>
      </c>
      <c r="AI76" s="48">
        <f t="shared" si="3"/>
        <v>0</v>
      </c>
      <c r="AK76" s="50"/>
    </row>
    <row r="77" spans="1:40" x14ac:dyDescent="0.25">
      <c r="A77" s="53" t="s">
        <v>85</v>
      </c>
      <c r="B77" s="45"/>
      <c r="C77" s="45"/>
      <c r="D77" s="64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74"/>
      <c r="AH77" s="47">
        <f t="shared" ref="AH77:AH120" si="8">MAX(B77:AF77)</f>
        <v>0</v>
      </c>
      <c r="AI77" s="48">
        <f t="shared" ref="AI77:AI120" si="9">MIN(B77:AF77)</f>
        <v>0</v>
      </c>
      <c r="AK77" s="50"/>
    </row>
    <row r="78" spans="1:40" x14ac:dyDescent="0.25">
      <c r="A78" s="53" t="s">
        <v>86</v>
      </c>
      <c r="B78" s="45"/>
      <c r="C78" s="76"/>
      <c r="D78" s="64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4"/>
      <c r="AH78" s="47">
        <f t="shared" si="8"/>
        <v>0</v>
      </c>
      <c r="AI78" s="48">
        <f t="shared" si="9"/>
        <v>0</v>
      </c>
      <c r="AK78" s="50"/>
    </row>
    <row r="79" spans="1:40" ht="15.75" thickBot="1" x14ac:dyDescent="0.3">
      <c r="A79" s="53" t="s">
        <v>87</v>
      </c>
      <c r="B79" s="45"/>
      <c r="C79" s="76"/>
      <c r="D79" s="64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4"/>
      <c r="AH79" s="47">
        <f t="shared" si="8"/>
        <v>0</v>
      </c>
      <c r="AI79" s="48">
        <f t="shared" si="9"/>
        <v>0</v>
      </c>
      <c r="AK79" s="50"/>
      <c r="AL79" s="77" t="s">
        <v>88</v>
      </c>
      <c r="AM79" s="77"/>
    </row>
    <row r="80" spans="1:40" x14ac:dyDescent="0.25">
      <c r="A80" s="53" t="s">
        <v>89</v>
      </c>
      <c r="B80" s="45"/>
      <c r="C80" s="76"/>
      <c r="D80" s="64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4"/>
      <c r="AH80" s="47">
        <f t="shared" si="8"/>
        <v>0</v>
      </c>
      <c r="AI80" s="48">
        <f t="shared" si="9"/>
        <v>0</v>
      </c>
      <c r="AK80" s="78"/>
      <c r="AL80" s="79"/>
      <c r="AM80" s="79"/>
      <c r="AN80" s="80"/>
    </row>
    <row r="81" spans="1:40" x14ac:dyDescent="0.25">
      <c r="A81" s="53" t="s">
        <v>90</v>
      </c>
      <c r="B81" s="45"/>
      <c r="C81" s="76"/>
      <c r="D81" s="64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4"/>
      <c r="AH81" s="47">
        <f t="shared" si="8"/>
        <v>0</v>
      </c>
      <c r="AI81" s="48">
        <f t="shared" si="9"/>
        <v>0</v>
      </c>
      <c r="AK81" s="81" t="s">
        <v>91</v>
      </c>
      <c r="AL81" s="64"/>
      <c r="AM81" s="75"/>
      <c r="AN81" s="82"/>
    </row>
    <row r="82" spans="1:40" x14ac:dyDescent="0.25">
      <c r="A82" s="83" t="s">
        <v>92</v>
      </c>
      <c r="B82" s="45"/>
      <c r="C82" s="76"/>
      <c r="D82" s="64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84"/>
      <c r="AH82" s="47">
        <f t="shared" si="8"/>
        <v>0</v>
      </c>
      <c r="AI82" s="48">
        <f t="shared" si="9"/>
        <v>0</v>
      </c>
      <c r="AK82" s="81" t="s">
        <v>93</v>
      </c>
      <c r="AL82" s="75"/>
      <c r="AM82" s="75"/>
      <c r="AN82" s="82"/>
    </row>
    <row r="83" spans="1:40" ht="15.75" thickBot="1" x14ac:dyDescent="0.3">
      <c r="A83" s="83" t="s">
        <v>94</v>
      </c>
      <c r="B83" s="45"/>
      <c r="C83" s="76"/>
      <c r="D83" s="64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84"/>
      <c r="AH83" s="47">
        <f t="shared" si="8"/>
        <v>0</v>
      </c>
      <c r="AI83" s="48">
        <f t="shared" si="9"/>
        <v>0</v>
      </c>
      <c r="AK83" s="85"/>
      <c r="AL83" s="45"/>
      <c r="AM83" s="45"/>
      <c r="AN83" s="86"/>
    </row>
    <row r="84" spans="1:40" ht="15.75" thickBot="1" x14ac:dyDescent="0.3">
      <c r="A84" s="73" t="s">
        <v>95</v>
      </c>
      <c r="B84" s="60">
        <f t="shared" ref="B84:AF84" si="10">SUMIF(B73:B83,"&gt;0")</f>
        <v>0</v>
      </c>
      <c r="C84" s="60">
        <f t="shared" si="10"/>
        <v>0</v>
      </c>
      <c r="D84" s="60">
        <f t="shared" si="10"/>
        <v>0</v>
      </c>
      <c r="E84" s="60">
        <f t="shared" si="10"/>
        <v>0</v>
      </c>
      <c r="F84" s="60">
        <f t="shared" si="10"/>
        <v>0</v>
      </c>
      <c r="G84" s="60">
        <f t="shared" si="10"/>
        <v>0</v>
      </c>
      <c r="H84" s="60">
        <f t="shared" si="10"/>
        <v>0</v>
      </c>
      <c r="I84" s="60">
        <f t="shared" si="10"/>
        <v>0</v>
      </c>
      <c r="J84" s="60">
        <f t="shared" si="10"/>
        <v>0</v>
      </c>
      <c r="K84" s="60">
        <f t="shared" si="10"/>
        <v>0</v>
      </c>
      <c r="L84" s="60">
        <f t="shared" si="10"/>
        <v>0</v>
      </c>
      <c r="M84" s="60">
        <f t="shared" si="10"/>
        <v>0</v>
      </c>
      <c r="N84" s="60">
        <f t="shared" si="10"/>
        <v>0</v>
      </c>
      <c r="O84" s="60">
        <f t="shared" si="10"/>
        <v>0</v>
      </c>
      <c r="P84" s="60">
        <f t="shared" si="10"/>
        <v>0</v>
      </c>
      <c r="Q84" s="60">
        <f t="shared" si="10"/>
        <v>0</v>
      </c>
      <c r="R84" s="60">
        <f t="shared" si="10"/>
        <v>0</v>
      </c>
      <c r="S84" s="60">
        <f t="shared" si="10"/>
        <v>0</v>
      </c>
      <c r="T84" s="60">
        <f t="shared" si="10"/>
        <v>0</v>
      </c>
      <c r="U84" s="60">
        <f t="shared" si="10"/>
        <v>0</v>
      </c>
      <c r="V84" s="60">
        <f t="shared" si="10"/>
        <v>0</v>
      </c>
      <c r="W84" s="60">
        <f t="shared" si="10"/>
        <v>0</v>
      </c>
      <c r="X84" s="60">
        <f t="shared" si="10"/>
        <v>0</v>
      </c>
      <c r="Y84" s="60">
        <f t="shared" si="10"/>
        <v>0</v>
      </c>
      <c r="Z84" s="60">
        <f t="shared" si="10"/>
        <v>0</v>
      </c>
      <c r="AA84" s="60">
        <f t="shared" si="10"/>
        <v>0</v>
      </c>
      <c r="AB84" s="60">
        <f t="shared" si="10"/>
        <v>0</v>
      </c>
      <c r="AC84" s="60">
        <f t="shared" si="10"/>
        <v>0</v>
      </c>
      <c r="AD84" s="60">
        <f t="shared" si="10"/>
        <v>0</v>
      </c>
      <c r="AE84" s="60">
        <f t="shared" si="10"/>
        <v>0</v>
      </c>
      <c r="AF84" s="60">
        <f t="shared" si="10"/>
        <v>0</v>
      </c>
      <c r="AG84" s="87">
        <f>SUM(AG73:AG83)</f>
        <v>0</v>
      </c>
      <c r="AH84" s="47">
        <f t="shared" si="8"/>
        <v>0</v>
      </c>
      <c r="AI84" s="48">
        <f t="shared" si="9"/>
        <v>0</v>
      </c>
      <c r="AK84" s="85"/>
      <c r="AL84" s="76"/>
      <c r="AM84" s="88"/>
      <c r="AN84" s="186"/>
    </row>
    <row r="85" spans="1:40" x14ac:dyDescent="0.25">
      <c r="A85" s="44" t="s">
        <v>96</v>
      </c>
      <c r="B85" s="75">
        <v>0</v>
      </c>
      <c r="C85" s="75">
        <v>0</v>
      </c>
      <c r="D85" s="75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89">
        <v>39</v>
      </c>
      <c r="AH85" s="47">
        <f t="shared" si="8"/>
        <v>0</v>
      </c>
      <c r="AI85" s="48">
        <f t="shared" si="9"/>
        <v>0</v>
      </c>
      <c r="AK85" s="85"/>
      <c r="AL85" s="76"/>
      <c r="AM85" s="76"/>
      <c r="AN85" s="187"/>
    </row>
    <row r="86" spans="1:40" ht="15.75" thickBot="1" x14ac:dyDescent="0.3">
      <c r="A86" s="53" t="s">
        <v>97</v>
      </c>
      <c r="B86" s="76">
        <v>0</v>
      </c>
      <c r="C86" s="76">
        <v>0</v>
      </c>
      <c r="D86" s="76">
        <v>0</v>
      </c>
      <c r="E86" s="76">
        <v>0</v>
      </c>
      <c r="F86" s="76">
        <v>0</v>
      </c>
      <c r="G86" s="76">
        <v>0</v>
      </c>
      <c r="H86" s="76">
        <v>0</v>
      </c>
      <c r="I86" s="76">
        <v>0</v>
      </c>
      <c r="J86" s="76">
        <v>0</v>
      </c>
      <c r="K86" s="76">
        <v>0</v>
      </c>
      <c r="L86" s="76">
        <v>0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4">
        <v>14.4</v>
      </c>
      <c r="AH86" s="47">
        <f t="shared" si="8"/>
        <v>0</v>
      </c>
      <c r="AI86" s="48">
        <f t="shared" si="9"/>
        <v>0</v>
      </c>
      <c r="AK86" s="90"/>
      <c r="AL86" s="91"/>
      <c r="AM86" s="91"/>
      <c r="AN86" s="92"/>
    </row>
    <row r="87" spans="1:40" ht="15.75" thickBot="1" x14ac:dyDescent="0.3">
      <c r="A87" s="83" t="s">
        <v>98</v>
      </c>
      <c r="B87" s="93">
        <v>0</v>
      </c>
      <c r="C87" s="93">
        <v>0</v>
      </c>
      <c r="D87" s="93">
        <v>0</v>
      </c>
      <c r="E87" s="93">
        <v>0</v>
      </c>
      <c r="F87" s="93">
        <v>0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84">
        <v>2</v>
      </c>
      <c r="AH87" s="47">
        <f t="shared" si="8"/>
        <v>0</v>
      </c>
      <c r="AI87" s="48">
        <f t="shared" si="9"/>
        <v>0</v>
      </c>
    </row>
    <row r="88" spans="1:40" ht="15.75" thickBot="1" x14ac:dyDescent="0.3">
      <c r="A88" s="73" t="s">
        <v>99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>
        <v>0</v>
      </c>
      <c r="Y88" s="60"/>
      <c r="Z88" s="60"/>
      <c r="AA88" s="60"/>
      <c r="AB88" s="60"/>
      <c r="AC88" s="60"/>
      <c r="AD88" s="60"/>
      <c r="AE88" s="60"/>
      <c r="AF88" s="60"/>
      <c r="AG88" s="87">
        <f>SUM(AG85:AG87)</f>
        <v>55.4</v>
      </c>
      <c r="AH88" s="47">
        <f t="shared" si="8"/>
        <v>0</v>
      </c>
      <c r="AI88" s="48">
        <f t="shared" si="9"/>
        <v>0</v>
      </c>
    </row>
    <row r="89" spans="1:40" ht="15.75" thickBot="1" x14ac:dyDescent="0.3">
      <c r="A89" s="73" t="s">
        <v>100</v>
      </c>
      <c r="B89" s="94">
        <f t="shared" ref="B89:AG89" si="11">B50+B54+B72+B68+B84+B88</f>
        <v>303.54000000000002</v>
      </c>
      <c r="C89" s="94">
        <f t="shared" si="11"/>
        <v>3.54</v>
      </c>
      <c r="D89" s="94">
        <f t="shared" si="11"/>
        <v>3.54</v>
      </c>
      <c r="E89" s="94">
        <f t="shared" si="11"/>
        <v>3.54</v>
      </c>
      <c r="F89" s="94">
        <f t="shared" si="11"/>
        <v>3.54</v>
      </c>
      <c r="G89" s="94">
        <f t="shared" si="11"/>
        <v>3.54</v>
      </c>
      <c r="H89" s="94">
        <f t="shared" si="11"/>
        <v>3.54</v>
      </c>
      <c r="I89" s="94">
        <f t="shared" si="11"/>
        <v>3.54</v>
      </c>
      <c r="J89" s="94">
        <f t="shared" si="11"/>
        <v>3.54</v>
      </c>
      <c r="K89" s="94">
        <f t="shared" si="11"/>
        <v>3.54</v>
      </c>
      <c r="L89" s="94">
        <f t="shared" si="11"/>
        <v>3.54</v>
      </c>
      <c r="M89" s="94">
        <f t="shared" si="11"/>
        <v>3.54</v>
      </c>
      <c r="N89" s="94">
        <f t="shared" si="11"/>
        <v>3.54</v>
      </c>
      <c r="O89" s="94">
        <f t="shared" si="11"/>
        <v>3.54</v>
      </c>
      <c r="P89" s="94">
        <f t="shared" si="11"/>
        <v>3.54</v>
      </c>
      <c r="Q89" s="94">
        <f t="shared" si="11"/>
        <v>3.54</v>
      </c>
      <c r="R89" s="94">
        <f t="shared" si="11"/>
        <v>3.54</v>
      </c>
      <c r="S89" s="94">
        <f t="shared" si="11"/>
        <v>3.54</v>
      </c>
      <c r="T89" s="94">
        <f t="shared" si="11"/>
        <v>3.54</v>
      </c>
      <c r="U89" s="94">
        <f t="shared" si="11"/>
        <v>3.54</v>
      </c>
      <c r="V89" s="94">
        <f t="shared" si="11"/>
        <v>3.54</v>
      </c>
      <c r="W89" s="94">
        <f t="shared" si="11"/>
        <v>3.54</v>
      </c>
      <c r="X89" s="94">
        <f t="shared" si="11"/>
        <v>3.54</v>
      </c>
      <c r="Y89" s="94">
        <f t="shared" si="11"/>
        <v>3.54</v>
      </c>
      <c r="Z89" s="94">
        <f t="shared" si="11"/>
        <v>3.54</v>
      </c>
      <c r="AA89" s="94">
        <f t="shared" si="11"/>
        <v>3.54</v>
      </c>
      <c r="AB89" s="94">
        <f t="shared" si="11"/>
        <v>3.54</v>
      </c>
      <c r="AC89" s="94">
        <f t="shared" si="11"/>
        <v>3.54</v>
      </c>
      <c r="AD89" s="94">
        <f t="shared" si="11"/>
        <v>3.54</v>
      </c>
      <c r="AE89" s="94">
        <f t="shared" si="11"/>
        <v>3.54</v>
      </c>
      <c r="AF89" s="94">
        <f t="shared" si="11"/>
        <v>3.54</v>
      </c>
      <c r="AG89" s="61">
        <f t="shared" si="11"/>
        <v>2111.5500000000002</v>
      </c>
      <c r="AH89" s="47">
        <f t="shared" si="8"/>
        <v>303.54000000000002</v>
      </c>
      <c r="AI89" s="48">
        <f t="shared" si="9"/>
        <v>3.54</v>
      </c>
    </row>
    <row r="90" spans="1:40" ht="15.75" thickBot="1" x14ac:dyDescent="0.3">
      <c r="A90" s="95" t="s">
        <v>101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87"/>
      <c r="AH90" s="47">
        <f t="shared" si="8"/>
        <v>0</v>
      </c>
      <c r="AI90" s="48">
        <f t="shared" si="9"/>
        <v>0</v>
      </c>
    </row>
    <row r="91" spans="1:40" ht="15.75" thickBot="1" x14ac:dyDescent="0.3">
      <c r="A91" s="73" t="s">
        <v>102</v>
      </c>
      <c r="B91" s="94">
        <f t="shared" ref="B91:AF91" si="12">B89+B90</f>
        <v>303.54000000000002</v>
      </c>
      <c r="C91" s="94">
        <f t="shared" si="12"/>
        <v>3.54</v>
      </c>
      <c r="D91" s="94">
        <f t="shared" si="12"/>
        <v>3.54</v>
      </c>
      <c r="E91" s="94">
        <f t="shared" si="12"/>
        <v>3.54</v>
      </c>
      <c r="F91" s="94">
        <f t="shared" si="12"/>
        <v>3.54</v>
      </c>
      <c r="G91" s="94">
        <f t="shared" si="12"/>
        <v>3.54</v>
      </c>
      <c r="H91" s="94">
        <f t="shared" si="12"/>
        <v>3.54</v>
      </c>
      <c r="I91" s="94">
        <f t="shared" si="12"/>
        <v>3.54</v>
      </c>
      <c r="J91" s="94">
        <f t="shared" si="12"/>
        <v>3.54</v>
      </c>
      <c r="K91" s="94">
        <f t="shared" si="12"/>
        <v>3.54</v>
      </c>
      <c r="L91" s="94">
        <f t="shared" si="12"/>
        <v>3.54</v>
      </c>
      <c r="M91" s="94">
        <f t="shared" si="12"/>
        <v>3.54</v>
      </c>
      <c r="N91" s="94">
        <f t="shared" si="12"/>
        <v>3.54</v>
      </c>
      <c r="O91" s="94">
        <f t="shared" si="12"/>
        <v>3.54</v>
      </c>
      <c r="P91" s="94">
        <f t="shared" si="12"/>
        <v>3.54</v>
      </c>
      <c r="Q91" s="94">
        <f t="shared" si="12"/>
        <v>3.54</v>
      </c>
      <c r="R91" s="94">
        <f t="shared" si="12"/>
        <v>3.54</v>
      </c>
      <c r="S91" s="94">
        <f t="shared" si="12"/>
        <v>3.54</v>
      </c>
      <c r="T91" s="94">
        <f t="shared" si="12"/>
        <v>3.54</v>
      </c>
      <c r="U91" s="94">
        <f t="shared" si="12"/>
        <v>3.54</v>
      </c>
      <c r="V91" s="94">
        <f t="shared" si="12"/>
        <v>3.54</v>
      </c>
      <c r="W91" s="94">
        <f t="shared" si="12"/>
        <v>3.54</v>
      </c>
      <c r="X91" s="94">
        <f t="shared" si="12"/>
        <v>3.54</v>
      </c>
      <c r="Y91" s="94">
        <f t="shared" si="12"/>
        <v>3.54</v>
      </c>
      <c r="Z91" s="94">
        <f t="shared" si="12"/>
        <v>3.54</v>
      </c>
      <c r="AA91" s="94">
        <f t="shared" si="12"/>
        <v>3.54</v>
      </c>
      <c r="AB91" s="94">
        <f t="shared" si="12"/>
        <v>3.54</v>
      </c>
      <c r="AC91" s="94">
        <f t="shared" si="12"/>
        <v>3.54</v>
      </c>
      <c r="AD91" s="94">
        <f t="shared" si="12"/>
        <v>3.54</v>
      </c>
      <c r="AE91" s="94">
        <f t="shared" si="12"/>
        <v>3.54</v>
      </c>
      <c r="AF91" s="94">
        <f t="shared" si="12"/>
        <v>3.54</v>
      </c>
      <c r="AG91" s="87">
        <f>AG88+AG84+AG72+AG68+AG50+AG90</f>
        <v>1573.45</v>
      </c>
      <c r="AH91" s="47">
        <f t="shared" si="8"/>
        <v>303.54000000000002</v>
      </c>
      <c r="AI91" s="48">
        <f t="shared" si="9"/>
        <v>3.54</v>
      </c>
    </row>
    <row r="92" spans="1:40" ht="15.75" thickBot="1" x14ac:dyDescent="0.3">
      <c r="A92" s="73" t="s">
        <v>103</v>
      </c>
      <c r="B92" s="94">
        <f>B91-(-B99)</f>
        <v>303.54000000000002</v>
      </c>
      <c r="C92" s="94">
        <f t="shared" ref="C92:AF92" si="13">C91-(-C99)</f>
        <v>3.54</v>
      </c>
      <c r="D92" s="94">
        <f t="shared" si="13"/>
        <v>3.54</v>
      </c>
      <c r="E92" s="94">
        <f t="shared" si="13"/>
        <v>3.54</v>
      </c>
      <c r="F92" s="94">
        <f t="shared" si="13"/>
        <v>3.54</v>
      </c>
      <c r="G92" s="94">
        <f t="shared" si="13"/>
        <v>3.54</v>
      </c>
      <c r="H92" s="94">
        <f t="shared" si="13"/>
        <v>3.54</v>
      </c>
      <c r="I92" s="94">
        <f t="shared" si="13"/>
        <v>3.54</v>
      </c>
      <c r="J92" s="94">
        <f t="shared" si="13"/>
        <v>3.54</v>
      </c>
      <c r="K92" s="94">
        <f t="shared" si="13"/>
        <v>3.54</v>
      </c>
      <c r="L92" s="94">
        <f t="shared" si="13"/>
        <v>3.54</v>
      </c>
      <c r="M92" s="94">
        <f t="shared" si="13"/>
        <v>3.54</v>
      </c>
      <c r="N92" s="94">
        <f t="shared" si="13"/>
        <v>3.54</v>
      </c>
      <c r="O92" s="94">
        <f t="shared" si="13"/>
        <v>3.54</v>
      </c>
      <c r="P92" s="94">
        <f t="shared" si="13"/>
        <v>3.54</v>
      </c>
      <c r="Q92" s="94">
        <f t="shared" si="13"/>
        <v>3.54</v>
      </c>
      <c r="R92" s="94">
        <f t="shared" si="13"/>
        <v>3.54</v>
      </c>
      <c r="S92" s="94">
        <f t="shared" si="13"/>
        <v>3.54</v>
      </c>
      <c r="T92" s="94">
        <f t="shared" si="13"/>
        <v>3.54</v>
      </c>
      <c r="U92" s="94">
        <f t="shared" si="13"/>
        <v>3.54</v>
      </c>
      <c r="V92" s="94">
        <f t="shared" si="13"/>
        <v>3.54</v>
      </c>
      <c r="W92" s="94">
        <f t="shared" si="13"/>
        <v>3.54</v>
      </c>
      <c r="X92" s="94">
        <f t="shared" si="13"/>
        <v>3.54</v>
      </c>
      <c r="Y92" s="94">
        <f t="shared" si="13"/>
        <v>3.54</v>
      </c>
      <c r="Z92" s="94">
        <f t="shared" si="13"/>
        <v>3.54</v>
      </c>
      <c r="AA92" s="94">
        <f t="shared" si="13"/>
        <v>3.54</v>
      </c>
      <c r="AB92" s="94">
        <f t="shared" si="13"/>
        <v>3.54</v>
      </c>
      <c r="AC92" s="94">
        <f t="shared" si="13"/>
        <v>3.54</v>
      </c>
      <c r="AD92" s="94">
        <f t="shared" si="13"/>
        <v>3.54</v>
      </c>
      <c r="AE92" s="94">
        <f t="shared" si="13"/>
        <v>3.54</v>
      </c>
      <c r="AF92" s="94">
        <f t="shared" si="13"/>
        <v>3.54</v>
      </c>
      <c r="AG92" s="87"/>
      <c r="AH92" s="47">
        <f t="shared" si="8"/>
        <v>303.54000000000002</v>
      </c>
      <c r="AI92" s="48">
        <f t="shared" si="9"/>
        <v>3.54</v>
      </c>
    </row>
    <row r="93" spans="1:40" x14ac:dyDescent="0.25">
      <c r="A93" s="44" t="s">
        <v>84</v>
      </c>
      <c r="B93" s="75">
        <v>0</v>
      </c>
      <c r="C93" s="75">
        <v>0</v>
      </c>
      <c r="D93" s="75"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51"/>
      <c r="AH93" s="47">
        <f t="shared" si="8"/>
        <v>0</v>
      </c>
      <c r="AI93" s="48">
        <f t="shared" si="9"/>
        <v>0</v>
      </c>
    </row>
    <row r="94" spans="1:40" x14ac:dyDescent="0.25">
      <c r="A94" s="53" t="s">
        <v>82</v>
      </c>
      <c r="B94" s="75">
        <v>0</v>
      </c>
      <c r="C94" s="75">
        <v>0</v>
      </c>
      <c r="D94" s="75">
        <v>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54"/>
      <c r="AH94" s="47">
        <f t="shared" si="8"/>
        <v>0</v>
      </c>
      <c r="AI94" s="48">
        <f t="shared" si="9"/>
        <v>0</v>
      </c>
    </row>
    <row r="95" spans="1:40" x14ac:dyDescent="0.25">
      <c r="A95" s="83" t="s">
        <v>104</v>
      </c>
      <c r="B95" s="75">
        <v>0</v>
      </c>
      <c r="C95" s="75">
        <v>0</v>
      </c>
      <c r="D95" s="75">
        <v>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0</v>
      </c>
      <c r="V95" s="75">
        <v>0</v>
      </c>
      <c r="W95" s="75">
        <v>0</v>
      </c>
      <c r="X95" s="75">
        <v>0</v>
      </c>
      <c r="Y95" s="75">
        <v>0</v>
      </c>
      <c r="Z95" s="75">
        <v>0</v>
      </c>
      <c r="AA95" s="75">
        <v>0</v>
      </c>
      <c r="AB95" s="75">
        <v>0</v>
      </c>
      <c r="AC95" s="75">
        <v>0</v>
      </c>
      <c r="AD95" s="75">
        <v>0</v>
      </c>
      <c r="AE95" s="75">
        <v>0</v>
      </c>
      <c r="AF95" s="75">
        <v>0</v>
      </c>
      <c r="AG95" s="97"/>
      <c r="AH95" s="47">
        <f t="shared" si="8"/>
        <v>0</v>
      </c>
      <c r="AI95" s="48">
        <f t="shared" si="9"/>
        <v>0</v>
      </c>
    </row>
    <row r="96" spans="1:40" x14ac:dyDescent="0.25">
      <c r="A96" s="83" t="s">
        <v>105</v>
      </c>
      <c r="B96" s="75">
        <v>0</v>
      </c>
      <c r="C96" s="75">
        <v>0</v>
      </c>
      <c r="D96" s="75">
        <v>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0</v>
      </c>
      <c r="V96" s="75">
        <v>0</v>
      </c>
      <c r="W96" s="75">
        <v>0</v>
      </c>
      <c r="X96" s="75">
        <v>0</v>
      </c>
      <c r="Y96" s="75">
        <v>0</v>
      </c>
      <c r="Z96" s="75">
        <v>0</v>
      </c>
      <c r="AA96" s="75">
        <v>0</v>
      </c>
      <c r="AB96" s="75">
        <v>0</v>
      </c>
      <c r="AC96" s="75">
        <v>0</v>
      </c>
      <c r="AD96" s="75">
        <v>0</v>
      </c>
      <c r="AE96" s="75">
        <v>0</v>
      </c>
      <c r="AF96" s="75">
        <v>0</v>
      </c>
      <c r="AG96" s="97"/>
      <c r="AH96" s="47">
        <f t="shared" si="8"/>
        <v>0</v>
      </c>
      <c r="AI96" s="48">
        <f t="shared" si="9"/>
        <v>0</v>
      </c>
    </row>
    <row r="97" spans="1:37" x14ac:dyDescent="0.25">
      <c r="A97" s="83" t="s">
        <v>81</v>
      </c>
      <c r="B97" s="75">
        <v>0</v>
      </c>
      <c r="C97" s="75">
        <v>0</v>
      </c>
      <c r="D97" s="75">
        <v>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0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0</v>
      </c>
      <c r="AB97" s="75">
        <v>0</v>
      </c>
      <c r="AC97" s="75">
        <v>0</v>
      </c>
      <c r="AD97" s="75">
        <v>0</v>
      </c>
      <c r="AE97" s="75">
        <v>0</v>
      </c>
      <c r="AF97" s="75">
        <v>0</v>
      </c>
      <c r="AG97" s="97"/>
      <c r="AH97" s="47">
        <f t="shared" si="8"/>
        <v>0</v>
      </c>
      <c r="AI97" s="48">
        <f t="shared" si="9"/>
        <v>0</v>
      </c>
    </row>
    <row r="98" spans="1:37" ht="15.75" thickBot="1" x14ac:dyDescent="0.3">
      <c r="A98" s="83" t="s">
        <v>106</v>
      </c>
      <c r="B98" s="93">
        <v>0</v>
      </c>
      <c r="C98" s="93">
        <v>0</v>
      </c>
      <c r="D98" s="93">
        <v>0</v>
      </c>
      <c r="E98" s="93">
        <v>0</v>
      </c>
      <c r="F98" s="93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84"/>
      <c r="AH98" s="47">
        <f t="shared" si="8"/>
        <v>0</v>
      </c>
      <c r="AI98" s="48">
        <f t="shared" si="9"/>
        <v>0</v>
      </c>
    </row>
    <row r="99" spans="1:37" ht="15.75" thickBot="1" x14ac:dyDescent="0.3">
      <c r="A99" s="98" t="s">
        <v>107</v>
      </c>
      <c r="B99" s="60">
        <f>B75</f>
        <v>0</v>
      </c>
      <c r="C99" s="60">
        <f t="shared" ref="C99:AF99" si="14">C75</f>
        <v>0</v>
      </c>
      <c r="D99" s="60">
        <f t="shared" si="14"/>
        <v>0</v>
      </c>
      <c r="E99" s="60">
        <f t="shared" si="14"/>
        <v>0</v>
      </c>
      <c r="F99" s="60">
        <f t="shared" si="14"/>
        <v>0</v>
      </c>
      <c r="G99" s="60">
        <f t="shared" si="14"/>
        <v>0</v>
      </c>
      <c r="H99" s="60">
        <f t="shared" si="14"/>
        <v>0</v>
      </c>
      <c r="I99" s="60">
        <f t="shared" si="14"/>
        <v>0</v>
      </c>
      <c r="J99" s="60">
        <f t="shared" si="14"/>
        <v>0</v>
      </c>
      <c r="K99" s="60">
        <f t="shared" si="14"/>
        <v>0</v>
      </c>
      <c r="L99" s="60">
        <f t="shared" si="14"/>
        <v>0</v>
      </c>
      <c r="M99" s="60">
        <f t="shared" si="14"/>
        <v>0</v>
      </c>
      <c r="N99" s="60">
        <f t="shared" si="14"/>
        <v>0</v>
      </c>
      <c r="O99" s="60">
        <f t="shared" si="14"/>
        <v>0</v>
      </c>
      <c r="P99" s="60">
        <f t="shared" si="14"/>
        <v>0</v>
      </c>
      <c r="Q99" s="60">
        <f t="shared" si="14"/>
        <v>0</v>
      </c>
      <c r="R99" s="60">
        <f t="shared" si="14"/>
        <v>0</v>
      </c>
      <c r="S99" s="60">
        <f t="shared" si="14"/>
        <v>0</v>
      </c>
      <c r="T99" s="60">
        <f t="shared" si="14"/>
        <v>0</v>
      </c>
      <c r="U99" s="60">
        <f t="shared" si="14"/>
        <v>0</v>
      </c>
      <c r="V99" s="60">
        <f t="shared" si="14"/>
        <v>0</v>
      </c>
      <c r="W99" s="60">
        <f t="shared" si="14"/>
        <v>0</v>
      </c>
      <c r="X99" s="60">
        <f t="shared" si="14"/>
        <v>0</v>
      </c>
      <c r="Y99" s="60">
        <f t="shared" si="14"/>
        <v>0</v>
      </c>
      <c r="Z99" s="60">
        <f t="shared" si="14"/>
        <v>0</v>
      </c>
      <c r="AA99" s="60">
        <f t="shared" si="14"/>
        <v>0</v>
      </c>
      <c r="AB99" s="60">
        <f t="shared" si="14"/>
        <v>0</v>
      </c>
      <c r="AC99" s="60">
        <f t="shared" si="14"/>
        <v>0</v>
      </c>
      <c r="AD99" s="60">
        <f t="shared" si="14"/>
        <v>0</v>
      </c>
      <c r="AE99" s="60">
        <f t="shared" si="14"/>
        <v>0</v>
      </c>
      <c r="AF99" s="60">
        <f t="shared" si="14"/>
        <v>0</v>
      </c>
      <c r="AG99" s="87"/>
      <c r="AH99" s="47">
        <f t="shared" si="8"/>
        <v>0</v>
      </c>
      <c r="AI99" s="48">
        <f t="shared" si="9"/>
        <v>0</v>
      </c>
      <c r="AK99" s="50"/>
    </row>
    <row r="100" spans="1:37" ht="15.75" thickBot="1" x14ac:dyDescent="0.3">
      <c r="A100" s="73" t="s">
        <v>108</v>
      </c>
      <c r="B100" s="60">
        <f t="shared" ref="B100:AF100" si="15">B84-B99</f>
        <v>0</v>
      </c>
      <c r="C100" s="60">
        <f t="shared" si="15"/>
        <v>0</v>
      </c>
      <c r="D100" s="60">
        <f t="shared" si="15"/>
        <v>0</v>
      </c>
      <c r="E100" s="60">
        <f t="shared" si="15"/>
        <v>0</v>
      </c>
      <c r="F100" s="60">
        <f t="shared" si="15"/>
        <v>0</v>
      </c>
      <c r="G100" s="60">
        <f t="shared" si="15"/>
        <v>0</v>
      </c>
      <c r="H100" s="60">
        <f t="shared" si="15"/>
        <v>0</v>
      </c>
      <c r="I100" s="60">
        <f t="shared" si="15"/>
        <v>0</v>
      </c>
      <c r="J100" s="60">
        <f t="shared" si="15"/>
        <v>0</v>
      </c>
      <c r="K100" s="60">
        <f t="shared" si="15"/>
        <v>0</v>
      </c>
      <c r="L100" s="60">
        <f t="shared" si="15"/>
        <v>0</v>
      </c>
      <c r="M100" s="60">
        <f t="shared" si="15"/>
        <v>0</v>
      </c>
      <c r="N100" s="60">
        <f t="shared" si="15"/>
        <v>0</v>
      </c>
      <c r="O100" s="60">
        <f t="shared" si="15"/>
        <v>0</v>
      </c>
      <c r="P100" s="60">
        <f t="shared" si="15"/>
        <v>0</v>
      </c>
      <c r="Q100" s="60">
        <f t="shared" si="15"/>
        <v>0</v>
      </c>
      <c r="R100" s="60">
        <f t="shared" si="15"/>
        <v>0</v>
      </c>
      <c r="S100" s="60">
        <f t="shared" si="15"/>
        <v>0</v>
      </c>
      <c r="T100" s="60">
        <f t="shared" si="15"/>
        <v>0</v>
      </c>
      <c r="U100" s="60">
        <f t="shared" si="15"/>
        <v>0</v>
      </c>
      <c r="V100" s="60">
        <f t="shared" si="15"/>
        <v>0</v>
      </c>
      <c r="W100" s="60">
        <f t="shared" si="15"/>
        <v>0</v>
      </c>
      <c r="X100" s="60">
        <f t="shared" si="15"/>
        <v>0</v>
      </c>
      <c r="Y100" s="60">
        <f t="shared" si="15"/>
        <v>0</v>
      </c>
      <c r="Z100" s="60">
        <f t="shared" si="15"/>
        <v>0</v>
      </c>
      <c r="AA100" s="60">
        <f t="shared" si="15"/>
        <v>0</v>
      </c>
      <c r="AB100" s="60">
        <f t="shared" si="15"/>
        <v>0</v>
      </c>
      <c r="AC100" s="60">
        <f t="shared" si="15"/>
        <v>0</v>
      </c>
      <c r="AD100" s="60">
        <f t="shared" si="15"/>
        <v>0</v>
      </c>
      <c r="AE100" s="60">
        <f t="shared" si="15"/>
        <v>0</v>
      </c>
      <c r="AF100" s="60">
        <f t="shared" si="15"/>
        <v>0</v>
      </c>
      <c r="AG100" s="87"/>
      <c r="AH100" s="47">
        <f t="shared" si="8"/>
        <v>0</v>
      </c>
      <c r="AI100" s="48">
        <f t="shared" si="9"/>
        <v>0</v>
      </c>
    </row>
    <row r="101" spans="1:37" x14ac:dyDescent="0.25">
      <c r="A101" s="99" t="s">
        <v>109</v>
      </c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1"/>
      <c r="AH101" s="47">
        <f t="shared" si="8"/>
        <v>0</v>
      </c>
      <c r="AI101" s="48">
        <f t="shared" si="9"/>
        <v>0</v>
      </c>
    </row>
    <row r="102" spans="1:37" x14ac:dyDescent="0.25">
      <c r="A102" s="102" t="s">
        <v>110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103"/>
      <c r="AH102" s="47">
        <f t="shared" si="8"/>
        <v>0</v>
      </c>
      <c r="AI102" s="48">
        <f t="shared" si="9"/>
        <v>0</v>
      </c>
    </row>
    <row r="103" spans="1:37" x14ac:dyDescent="0.25">
      <c r="A103" s="102" t="s">
        <v>111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103"/>
      <c r="AH103" s="47">
        <f t="shared" si="8"/>
        <v>0</v>
      </c>
      <c r="AI103" s="48">
        <f t="shared" si="9"/>
        <v>0</v>
      </c>
    </row>
    <row r="104" spans="1:37" x14ac:dyDescent="0.25">
      <c r="A104" s="102" t="s">
        <v>112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103"/>
      <c r="AH104" s="47">
        <f t="shared" si="8"/>
        <v>0</v>
      </c>
      <c r="AI104" s="48">
        <f t="shared" si="9"/>
        <v>0</v>
      </c>
    </row>
    <row r="105" spans="1:37" x14ac:dyDescent="0.25">
      <c r="A105" s="104" t="s">
        <v>113</v>
      </c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103"/>
      <c r="AH105" s="47">
        <f t="shared" si="8"/>
        <v>0</v>
      </c>
      <c r="AI105" s="48">
        <f t="shared" si="9"/>
        <v>0</v>
      </c>
    </row>
    <row r="106" spans="1:37" x14ac:dyDescent="0.25">
      <c r="A106" s="104" t="s">
        <v>114</v>
      </c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6"/>
      <c r="AH106" s="47">
        <f t="shared" si="8"/>
        <v>0</v>
      </c>
      <c r="AI106" s="48">
        <f t="shared" si="9"/>
        <v>0</v>
      </c>
    </row>
    <row r="107" spans="1:37" x14ac:dyDescent="0.25">
      <c r="A107" s="102" t="s">
        <v>115</v>
      </c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103"/>
      <c r="AH107" s="47">
        <f t="shared" si="8"/>
        <v>0</v>
      </c>
      <c r="AI107" s="48">
        <f t="shared" si="9"/>
        <v>0</v>
      </c>
    </row>
    <row r="108" spans="1:37" ht="15.75" thickBot="1" x14ac:dyDescent="0.3">
      <c r="A108" s="102" t="s">
        <v>116</v>
      </c>
      <c r="B108" s="91"/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107"/>
      <c r="AH108" s="47">
        <f t="shared" si="8"/>
        <v>0</v>
      </c>
      <c r="AI108" s="48">
        <f t="shared" si="9"/>
        <v>0</v>
      </c>
    </row>
    <row r="109" spans="1:37" ht="15.75" thickBot="1" x14ac:dyDescent="0.3">
      <c r="A109" s="108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 t="s">
        <v>117</v>
      </c>
      <c r="Y109" s="91"/>
      <c r="Z109" s="91"/>
      <c r="AA109" s="91"/>
      <c r="AB109" s="91"/>
      <c r="AC109" s="91"/>
      <c r="AD109" s="91"/>
      <c r="AE109" s="91"/>
      <c r="AF109" s="91"/>
      <c r="AG109" s="107"/>
      <c r="AH109" s="47">
        <f t="shared" si="8"/>
        <v>0</v>
      </c>
      <c r="AI109" s="48">
        <f t="shared" si="9"/>
        <v>0</v>
      </c>
    </row>
    <row r="110" spans="1:37" ht="15.75" thickBot="1" x14ac:dyDescent="0.3">
      <c r="A110" s="109" t="s">
        <v>118</v>
      </c>
      <c r="B110" s="110">
        <f t="shared" ref="B110:O110" si="16">SUM(B20,B26,B29:B30,B58,B60:B61,B63,B65,B111:B115,B138,B144,B150,B159,B161,B173,B180,B183:B184,B191,B193,B195,B199:B201,B203:B205,B210,B216:B217,B219:B221,B229,B234)</f>
        <v>0</v>
      </c>
      <c r="C110" s="110">
        <f t="shared" si="16"/>
        <v>0.94</v>
      </c>
      <c r="D110" s="110">
        <f t="shared" si="16"/>
        <v>0.94</v>
      </c>
      <c r="E110" s="110">
        <f t="shared" si="16"/>
        <v>0.94</v>
      </c>
      <c r="F110" s="110">
        <f t="shared" si="16"/>
        <v>0.94</v>
      </c>
      <c r="G110" s="110">
        <f t="shared" si="16"/>
        <v>0.94</v>
      </c>
      <c r="H110" s="110">
        <f t="shared" si="16"/>
        <v>0.94</v>
      </c>
      <c r="I110" s="110">
        <f t="shared" si="16"/>
        <v>0.94</v>
      </c>
      <c r="J110" s="110">
        <f t="shared" si="16"/>
        <v>0.94</v>
      </c>
      <c r="K110" s="110">
        <f t="shared" si="16"/>
        <v>0.94</v>
      </c>
      <c r="L110" s="110">
        <f t="shared" si="16"/>
        <v>0.94</v>
      </c>
      <c r="M110" s="110">
        <f t="shared" si="16"/>
        <v>0.94</v>
      </c>
      <c r="N110" s="110">
        <f t="shared" si="16"/>
        <v>0.94</v>
      </c>
      <c r="O110" s="110">
        <f t="shared" si="16"/>
        <v>0.94</v>
      </c>
      <c r="P110" s="110">
        <v>42</v>
      </c>
      <c r="Q110" s="110">
        <f t="shared" ref="Q110:AF110" si="17">SUM(Q20,Q26,Q29:Q30,Q58,Q60:Q61,Q63,Q65,Q111:Q115,Q138,Q144,Q150,Q159,Q161,Q173,Q180,Q183:Q184,Q191,Q193,Q195,Q199:Q201,Q203:Q205,Q210,Q216:Q217,Q219:Q221,Q229,Q234)</f>
        <v>0</v>
      </c>
      <c r="R110" s="110">
        <f t="shared" si="17"/>
        <v>0</v>
      </c>
      <c r="S110" s="110">
        <f t="shared" si="17"/>
        <v>0</v>
      </c>
      <c r="T110" s="110">
        <f t="shared" si="17"/>
        <v>0</v>
      </c>
      <c r="U110" s="110">
        <f t="shared" si="17"/>
        <v>0</v>
      </c>
      <c r="V110" s="110">
        <f t="shared" si="17"/>
        <v>0</v>
      </c>
      <c r="W110" s="110">
        <f t="shared" si="17"/>
        <v>0</v>
      </c>
      <c r="X110" s="110">
        <f t="shared" si="17"/>
        <v>0</v>
      </c>
      <c r="Y110" s="110">
        <f t="shared" si="17"/>
        <v>0</v>
      </c>
      <c r="Z110" s="110">
        <f t="shared" si="17"/>
        <v>0</v>
      </c>
      <c r="AA110" s="110">
        <f t="shared" si="17"/>
        <v>0</v>
      </c>
      <c r="AB110" s="110">
        <f t="shared" si="17"/>
        <v>0</v>
      </c>
      <c r="AC110" s="110">
        <f t="shared" si="17"/>
        <v>0</v>
      </c>
      <c r="AD110" s="110"/>
      <c r="AE110" s="110">
        <f t="shared" si="17"/>
        <v>0</v>
      </c>
      <c r="AF110" s="110">
        <f t="shared" si="17"/>
        <v>0</v>
      </c>
      <c r="AG110" s="111"/>
      <c r="AH110" s="47">
        <f t="shared" si="8"/>
        <v>42</v>
      </c>
      <c r="AI110" s="48">
        <f t="shared" si="9"/>
        <v>0</v>
      </c>
    </row>
    <row r="111" spans="1:37" x14ac:dyDescent="0.25">
      <c r="A111" s="99" t="s">
        <v>119</v>
      </c>
      <c r="B111" s="112"/>
      <c r="C111" s="112"/>
      <c r="D111" s="112"/>
      <c r="E111" s="112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3">
        <v>75</v>
      </c>
      <c r="AH111" s="47">
        <f t="shared" si="8"/>
        <v>0</v>
      </c>
      <c r="AI111" s="48">
        <f t="shared" si="9"/>
        <v>0</v>
      </c>
    </row>
    <row r="112" spans="1:37" x14ac:dyDescent="0.25">
      <c r="A112" s="102" t="s">
        <v>120</v>
      </c>
      <c r="B112" s="114"/>
      <c r="C112" s="114"/>
      <c r="D112" s="114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  <c r="AA112" s="114"/>
      <c r="AB112" s="114"/>
      <c r="AC112" s="114"/>
      <c r="AD112" s="114"/>
      <c r="AE112" s="114"/>
      <c r="AF112" s="114"/>
      <c r="AG112" s="113">
        <v>240</v>
      </c>
      <c r="AH112" s="47">
        <f t="shared" si="8"/>
        <v>0</v>
      </c>
      <c r="AI112" s="48">
        <f t="shared" si="9"/>
        <v>0</v>
      </c>
    </row>
    <row r="113" spans="1:37" x14ac:dyDescent="0.25">
      <c r="A113" s="102" t="s">
        <v>121</v>
      </c>
      <c r="B113" s="114"/>
      <c r="C113" s="114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  <c r="AD113" s="114"/>
      <c r="AE113" s="114"/>
      <c r="AF113" s="114"/>
      <c r="AG113" s="113">
        <v>240</v>
      </c>
      <c r="AH113" s="47">
        <f t="shared" si="8"/>
        <v>0</v>
      </c>
      <c r="AI113" s="48">
        <f t="shared" si="9"/>
        <v>0</v>
      </c>
    </row>
    <row r="114" spans="1:37" x14ac:dyDescent="0.25">
      <c r="A114" s="102" t="s">
        <v>122</v>
      </c>
      <c r="B114" s="114"/>
      <c r="C114" s="114"/>
      <c r="D114" s="114"/>
      <c r="E114" s="114"/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4"/>
      <c r="Y114" s="114"/>
      <c r="Z114" s="114"/>
      <c r="AA114" s="114"/>
      <c r="AB114" s="114"/>
      <c r="AC114" s="114"/>
      <c r="AD114" s="114"/>
      <c r="AE114" s="114"/>
      <c r="AF114" s="114"/>
      <c r="AG114" s="113">
        <v>60</v>
      </c>
      <c r="AH114" s="47">
        <f t="shared" si="8"/>
        <v>0</v>
      </c>
      <c r="AI114" s="48">
        <f t="shared" si="9"/>
        <v>0</v>
      </c>
    </row>
    <row r="115" spans="1:37" x14ac:dyDescent="0.25">
      <c r="A115" s="115" t="s">
        <v>123</v>
      </c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7">
        <v>120</v>
      </c>
      <c r="AH115" s="47">
        <f t="shared" si="8"/>
        <v>0</v>
      </c>
      <c r="AI115" s="48">
        <f t="shared" si="9"/>
        <v>0</v>
      </c>
    </row>
    <row r="116" spans="1:37" x14ac:dyDescent="0.25">
      <c r="A116" s="115" t="s">
        <v>124</v>
      </c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7"/>
      <c r="AH116" s="47">
        <f t="shared" si="8"/>
        <v>0</v>
      </c>
      <c r="AI116" s="48">
        <f t="shared" si="9"/>
        <v>0</v>
      </c>
    </row>
    <row r="117" spans="1:37" x14ac:dyDescent="0.25">
      <c r="A117" s="115" t="s">
        <v>125</v>
      </c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8"/>
      <c r="AH117" s="47">
        <f t="shared" si="8"/>
        <v>0</v>
      </c>
      <c r="AI117" s="48">
        <f t="shared" si="9"/>
        <v>0</v>
      </c>
    </row>
    <row r="118" spans="1:37" x14ac:dyDescent="0.25">
      <c r="A118" s="119" t="s">
        <v>126</v>
      </c>
      <c r="B118" s="105"/>
      <c r="C118" s="105"/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18"/>
      <c r="AH118" s="47">
        <f t="shared" si="8"/>
        <v>0</v>
      </c>
      <c r="AI118" s="48">
        <f t="shared" si="9"/>
        <v>0</v>
      </c>
    </row>
    <row r="119" spans="1:37" x14ac:dyDescent="0.25">
      <c r="A119" s="120" t="s">
        <v>127</v>
      </c>
      <c r="B119" s="105"/>
      <c r="C119" s="105"/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18"/>
      <c r="AH119" s="47">
        <f t="shared" si="8"/>
        <v>0</v>
      </c>
      <c r="AI119" s="48">
        <f t="shared" si="9"/>
        <v>0</v>
      </c>
    </row>
    <row r="120" spans="1:37" ht="15.75" thickBot="1" x14ac:dyDescent="0.3">
      <c r="A120" s="119" t="s">
        <v>128</v>
      </c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18"/>
      <c r="AH120" s="47">
        <f t="shared" si="8"/>
        <v>0</v>
      </c>
      <c r="AI120" s="48">
        <f t="shared" si="9"/>
        <v>0</v>
      </c>
    </row>
    <row r="121" spans="1:37" ht="15.75" thickBot="1" x14ac:dyDescent="0.3">
      <c r="A121" s="121" t="s">
        <v>129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3"/>
      <c r="AH121" s="47"/>
      <c r="AI121" s="48"/>
      <c r="AK121" s="50"/>
    </row>
    <row r="122" spans="1:37" x14ac:dyDescent="0.25">
      <c r="A122" s="124" t="s">
        <v>130</v>
      </c>
      <c r="B122" s="125"/>
      <c r="C122" s="126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7">
        <v>9.94</v>
      </c>
      <c r="AH122" s="47"/>
      <c r="AI122" s="48"/>
      <c r="AK122" s="50"/>
    </row>
    <row r="123" spans="1:37" x14ac:dyDescent="0.25">
      <c r="A123" s="102" t="s">
        <v>131</v>
      </c>
      <c r="B123" s="125"/>
      <c r="C123" s="126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7"/>
      <c r="AH123" s="47"/>
      <c r="AI123" s="48"/>
      <c r="AK123" s="50"/>
    </row>
    <row r="124" spans="1:37" x14ac:dyDescent="0.25">
      <c r="A124" s="102" t="s">
        <v>132</v>
      </c>
      <c r="B124" s="125"/>
      <c r="C124" s="126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7"/>
      <c r="AH124" s="47"/>
      <c r="AI124" s="48"/>
      <c r="AK124" s="50"/>
    </row>
    <row r="125" spans="1:37" x14ac:dyDescent="0.25">
      <c r="A125" s="102" t="s">
        <v>133</v>
      </c>
      <c r="B125" s="125"/>
      <c r="C125" s="126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7"/>
      <c r="AH125" s="47"/>
      <c r="AI125" s="48"/>
      <c r="AK125" s="50"/>
    </row>
    <row r="126" spans="1:37" x14ac:dyDescent="0.25">
      <c r="A126" s="102" t="s">
        <v>134</v>
      </c>
      <c r="B126" s="125"/>
      <c r="C126" s="126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7"/>
      <c r="AH126" s="47"/>
      <c r="AI126" s="48"/>
      <c r="AK126" s="50"/>
    </row>
    <row r="127" spans="1:37" x14ac:dyDescent="0.25">
      <c r="A127" s="102" t="s">
        <v>135</v>
      </c>
      <c r="B127" s="125"/>
      <c r="C127" s="126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7"/>
      <c r="AH127" s="47"/>
      <c r="AI127" s="48"/>
      <c r="AK127" s="50"/>
    </row>
    <row r="128" spans="1:37" x14ac:dyDescent="0.25">
      <c r="A128" s="102" t="s">
        <v>136</v>
      </c>
      <c r="B128" s="125"/>
      <c r="C128" s="126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7"/>
      <c r="AH128" s="47"/>
      <c r="AI128" s="48"/>
      <c r="AK128" s="50"/>
    </row>
    <row r="129" spans="1:37" x14ac:dyDescent="0.25">
      <c r="A129" s="102" t="s">
        <v>137</v>
      </c>
      <c r="B129" s="125"/>
      <c r="C129" s="126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7"/>
      <c r="AH129" s="47"/>
      <c r="AI129" s="48"/>
      <c r="AK129" s="50"/>
    </row>
    <row r="130" spans="1:37" x14ac:dyDescent="0.25">
      <c r="A130" s="102" t="s">
        <v>138</v>
      </c>
      <c r="B130" s="125"/>
      <c r="C130" s="126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7"/>
      <c r="AH130" s="47"/>
      <c r="AI130" s="48"/>
      <c r="AK130" s="50"/>
    </row>
    <row r="131" spans="1:37" x14ac:dyDescent="0.25">
      <c r="A131" s="102" t="s">
        <v>139</v>
      </c>
      <c r="B131" s="125"/>
      <c r="C131" s="126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7"/>
      <c r="AH131" s="47"/>
      <c r="AI131" s="48"/>
      <c r="AK131" s="50"/>
    </row>
    <row r="132" spans="1:37" x14ac:dyDescent="0.25">
      <c r="A132" s="102" t="s">
        <v>140</v>
      </c>
      <c r="B132" s="125"/>
      <c r="C132" s="126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7"/>
      <c r="AH132" s="47"/>
      <c r="AI132" s="48"/>
      <c r="AK132" s="50"/>
    </row>
    <row r="133" spans="1:37" x14ac:dyDescent="0.25">
      <c r="A133" s="102" t="s">
        <v>141</v>
      </c>
      <c r="B133" s="125"/>
      <c r="C133" s="126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7"/>
      <c r="AH133" s="47"/>
      <c r="AI133" s="48"/>
      <c r="AK133" s="50"/>
    </row>
    <row r="134" spans="1:37" x14ac:dyDescent="0.25">
      <c r="A134" s="102" t="s">
        <v>142</v>
      </c>
      <c r="B134" s="125"/>
      <c r="C134" s="126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7"/>
      <c r="AH134" s="47"/>
      <c r="AI134" s="48"/>
      <c r="AK134" s="50"/>
    </row>
    <row r="135" spans="1:37" x14ac:dyDescent="0.25">
      <c r="A135" s="102" t="s">
        <v>143</v>
      </c>
      <c r="B135" s="125"/>
      <c r="C135" s="126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7"/>
      <c r="AH135" s="47"/>
      <c r="AI135" s="48"/>
      <c r="AK135" s="50"/>
    </row>
    <row r="136" spans="1:37" x14ac:dyDescent="0.25">
      <c r="A136" s="102" t="s">
        <v>144</v>
      </c>
      <c r="B136" s="125"/>
      <c r="C136" s="126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7"/>
      <c r="AH136" s="47"/>
      <c r="AI136" s="48"/>
      <c r="AK136" s="50"/>
    </row>
    <row r="137" spans="1:37" x14ac:dyDescent="0.25">
      <c r="A137" s="102" t="s">
        <v>145</v>
      </c>
      <c r="B137" s="125"/>
      <c r="C137" s="126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7"/>
      <c r="AH137" s="47"/>
      <c r="AI137" s="48"/>
      <c r="AK137" s="50"/>
    </row>
    <row r="138" spans="1:37" x14ac:dyDescent="0.25">
      <c r="A138" s="102" t="s">
        <v>146</v>
      </c>
      <c r="B138" s="128"/>
      <c r="C138" s="129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30">
        <v>9.9</v>
      </c>
      <c r="AH138" s="47"/>
      <c r="AI138" s="48"/>
      <c r="AK138" s="50"/>
    </row>
    <row r="139" spans="1:37" x14ac:dyDescent="0.25">
      <c r="A139" s="115" t="s">
        <v>147</v>
      </c>
      <c r="B139" s="128"/>
      <c r="C139" s="129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31">
        <v>9.6579999999999995</v>
      </c>
      <c r="AH139" s="47"/>
      <c r="AI139" s="48"/>
      <c r="AK139" s="50"/>
    </row>
    <row r="140" spans="1:37" x14ac:dyDescent="0.25">
      <c r="A140" s="115" t="s">
        <v>148</v>
      </c>
      <c r="B140" s="128"/>
      <c r="C140" s="129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31">
        <v>9.6</v>
      </c>
      <c r="AH140" s="47"/>
      <c r="AI140" s="48"/>
      <c r="AK140" s="50"/>
    </row>
    <row r="141" spans="1:37" x14ac:dyDescent="0.25">
      <c r="A141" s="115" t="s">
        <v>149</v>
      </c>
      <c r="B141" s="128"/>
      <c r="C141" s="129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31">
        <v>9.51</v>
      </c>
      <c r="AH141" s="47"/>
      <c r="AI141" s="48"/>
      <c r="AK141" s="50"/>
    </row>
    <row r="142" spans="1:37" x14ac:dyDescent="0.25">
      <c r="A142" s="115" t="s">
        <v>150</v>
      </c>
      <c r="B142" s="128"/>
      <c r="C142" s="129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31">
        <v>9.4</v>
      </c>
      <c r="AH142" s="47"/>
      <c r="AI142" s="48"/>
      <c r="AK142" s="50"/>
    </row>
    <row r="143" spans="1:37" x14ac:dyDescent="0.25">
      <c r="A143" s="115" t="s">
        <v>151</v>
      </c>
      <c r="B143" s="128"/>
      <c r="C143" s="129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31">
        <v>8.8000000000000007</v>
      </c>
      <c r="AH143" s="47"/>
      <c r="AI143" s="48"/>
      <c r="AK143" s="50"/>
    </row>
    <row r="144" spans="1:37" x14ac:dyDescent="0.25">
      <c r="A144" s="115" t="s">
        <v>152</v>
      </c>
      <c r="B144" s="128"/>
      <c r="C144" s="129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31">
        <v>8.5</v>
      </c>
      <c r="AH144" s="47"/>
      <c r="AI144" s="48"/>
      <c r="AK144" s="50"/>
    </row>
    <row r="145" spans="1:37" x14ac:dyDescent="0.25">
      <c r="A145" s="115" t="s">
        <v>153</v>
      </c>
      <c r="B145" s="128"/>
      <c r="C145" s="129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31">
        <v>8.5</v>
      </c>
      <c r="AH145" s="47"/>
      <c r="AI145" s="48"/>
      <c r="AK145" s="50"/>
    </row>
    <row r="146" spans="1:37" x14ac:dyDescent="0.25">
      <c r="A146" s="115" t="s">
        <v>154</v>
      </c>
      <c r="B146" s="128"/>
      <c r="C146" s="129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31">
        <v>8.4</v>
      </c>
      <c r="AH146" s="47"/>
      <c r="AI146" s="48"/>
      <c r="AK146" s="50"/>
    </row>
    <row r="147" spans="1:37" ht="13.5" customHeight="1" x14ac:dyDescent="0.25">
      <c r="A147" s="115" t="s">
        <v>155</v>
      </c>
      <c r="B147" s="128"/>
      <c r="C147" s="129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31">
        <v>8</v>
      </c>
      <c r="AH147" s="47"/>
      <c r="AI147" s="48"/>
      <c r="AK147" s="50"/>
    </row>
    <row r="148" spans="1:37" x14ac:dyDescent="0.25">
      <c r="A148" s="115" t="s">
        <v>156</v>
      </c>
      <c r="B148" s="128"/>
      <c r="C148" s="129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31">
        <v>8</v>
      </c>
      <c r="AH148" s="47"/>
      <c r="AI148" s="48"/>
      <c r="AK148" s="50"/>
    </row>
    <row r="149" spans="1:37" x14ac:dyDescent="0.25">
      <c r="A149" s="115" t="s">
        <v>157</v>
      </c>
      <c r="B149" s="128"/>
      <c r="C149" s="129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31">
        <v>8</v>
      </c>
      <c r="AH149" s="47"/>
      <c r="AI149" s="48"/>
      <c r="AK149" s="50"/>
    </row>
    <row r="150" spans="1:37" x14ac:dyDescent="0.25">
      <c r="A150" s="115" t="s">
        <v>158</v>
      </c>
      <c r="B150" s="128"/>
      <c r="C150" s="129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31">
        <v>7.8</v>
      </c>
      <c r="AH150" s="47"/>
      <c r="AI150" s="48"/>
      <c r="AK150" s="50"/>
    </row>
    <row r="151" spans="1:37" x14ac:dyDescent="0.25">
      <c r="A151" s="115" t="s">
        <v>159</v>
      </c>
      <c r="B151" s="128"/>
      <c r="C151" s="129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31">
        <v>7.6</v>
      </c>
      <c r="AH151" s="47"/>
      <c r="AI151" s="48"/>
      <c r="AK151" s="50"/>
    </row>
    <row r="152" spans="1:37" x14ac:dyDescent="0.25">
      <c r="A152" s="115" t="s">
        <v>160</v>
      </c>
      <c r="B152" s="128"/>
      <c r="C152" s="129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31">
        <v>7.5</v>
      </c>
      <c r="AH152" s="47"/>
      <c r="AI152" s="48"/>
      <c r="AK152" s="50"/>
    </row>
    <row r="153" spans="1:37" x14ac:dyDescent="0.25">
      <c r="A153" s="115" t="s">
        <v>161</v>
      </c>
      <c r="B153" s="128"/>
      <c r="C153" s="129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31">
        <v>7.5</v>
      </c>
      <c r="AH153" s="47"/>
      <c r="AI153" s="48"/>
      <c r="AK153" s="50"/>
    </row>
    <row r="154" spans="1:37" x14ac:dyDescent="0.25">
      <c r="A154" s="115" t="s">
        <v>162</v>
      </c>
      <c r="B154" s="128"/>
      <c r="C154" s="129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31">
        <v>7</v>
      </c>
      <c r="AH154" s="47"/>
      <c r="AI154" s="48"/>
      <c r="AK154" s="50"/>
    </row>
    <row r="155" spans="1:37" x14ac:dyDescent="0.25">
      <c r="A155" s="115" t="s">
        <v>163</v>
      </c>
      <c r="B155" s="128"/>
      <c r="C155" s="129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31">
        <v>7</v>
      </c>
      <c r="AH155" s="47"/>
      <c r="AI155" s="48"/>
      <c r="AK155" s="50"/>
    </row>
    <row r="156" spans="1:37" x14ac:dyDescent="0.25">
      <c r="A156" s="115" t="s">
        <v>164</v>
      </c>
      <c r="B156" s="128"/>
      <c r="C156" s="129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31">
        <v>7</v>
      </c>
      <c r="AH156" s="47"/>
      <c r="AI156" s="48"/>
      <c r="AK156" s="50"/>
    </row>
    <row r="157" spans="1:37" x14ac:dyDescent="0.25">
      <c r="A157" s="115" t="s">
        <v>165</v>
      </c>
      <c r="B157" s="128"/>
      <c r="C157" s="129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31">
        <v>7</v>
      </c>
      <c r="AH157" s="47"/>
      <c r="AI157" s="48"/>
      <c r="AK157" s="50"/>
    </row>
    <row r="158" spans="1:37" x14ac:dyDescent="0.25">
      <c r="A158" s="115" t="s">
        <v>166</v>
      </c>
      <c r="B158" s="128"/>
      <c r="C158" s="129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31">
        <v>6.6</v>
      </c>
      <c r="AH158" s="47"/>
      <c r="AI158" s="48"/>
      <c r="AK158" s="50"/>
    </row>
    <row r="159" spans="1:37" x14ac:dyDescent="0.25">
      <c r="A159" s="115" t="s">
        <v>167</v>
      </c>
      <c r="B159" s="128"/>
      <c r="C159" s="129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31">
        <v>6.6</v>
      </c>
      <c r="AH159" s="47"/>
      <c r="AI159" s="48"/>
      <c r="AK159" s="50"/>
    </row>
    <row r="160" spans="1:37" x14ac:dyDescent="0.25">
      <c r="A160" s="115" t="s">
        <v>168</v>
      </c>
      <c r="B160" s="128"/>
      <c r="C160" s="129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31">
        <v>6.4</v>
      </c>
      <c r="AH160" s="47"/>
      <c r="AI160" s="48"/>
      <c r="AK160" s="50"/>
    </row>
    <row r="161" spans="1:37" x14ac:dyDescent="0.25">
      <c r="A161" s="115" t="s">
        <v>169</v>
      </c>
      <c r="B161" s="128"/>
      <c r="C161" s="129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31">
        <v>6</v>
      </c>
      <c r="AH161" s="47"/>
      <c r="AI161" s="48"/>
      <c r="AK161" s="50"/>
    </row>
    <row r="162" spans="1:37" x14ac:dyDescent="0.25">
      <c r="A162" s="115" t="s">
        <v>170</v>
      </c>
      <c r="B162" s="128"/>
      <c r="C162" s="129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31">
        <v>5.0999999999999996</v>
      </c>
      <c r="AH162" s="47"/>
      <c r="AI162" s="48"/>
      <c r="AK162" s="50"/>
    </row>
    <row r="163" spans="1:37" x14ac:dyDescent="0.25">
      <c r="A163" s="115" t="s">
        <v>171</v>
      </c>
      <c r="B163" s="128"/>
      <c r="C163" s="129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31">
        <v>5</v>
      </c>
      <c r="AH163" s="47"/>
      <c r="AI163" s="48"/>
      <c r="AK163" s="50"/>
    </row>
    <row r="164" spans="1:37" x14ac:dyDescent="0.25">
      <c r="A164" s="102" t="s">
        <v>172</v>
      </c>
      <c r="B164" s="128"/>
      <c r="C164" s="129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30">
        <v>5</v>
      </c>
      <c r="AH164" s="47"/>
      <c r="AI164" s="48"/>
      <c r="AK164" s="50"/>
    </row>
    <row r="165" spans="1:37" x14ac:dyDescent="0.25">
      <c r="A165" s="115" t="s">
        <v>173</v>
      </c>
      <c r="B165" s="128"/>
      <c r="C165" s="129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31">
        <v>5</v>
      </c>
      <c r="AH165" s="47"/>
      <c r="AI165" s="48"/>
      <c r="AK165" s="50"/>
    </row>
    <row r="166" spans="1:37" x14ac:dyDescent="0.25">
      <c r="A166" s="115" t="s">
        <v>174</v>
      </c>
      <c r="B166" s="128"/>
      <c r="C166" s="129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31">
        <v>5</v>
      </c>
      <c r="AH166" s="47"/>
      <c r="AI166" s="48"/>
      <c r="AK166" s="50"/>
    </row>
    <row r="167" spans="1:37" x14ac:dyDescent="0.25">
      <c r="A167" s="115" t="s">
        <v>175</v>
      </c>
      <c r="B167" s="128"/>
      <c r="C167" s="129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31">
        <v>5</v>
      </c>
      <c r="AH167" s="47"/>
      <c r="AI167" s="48"/>
      <c r="AK167" s="50"/>
    </row>
    <row r="168" spans="1:37" x14ac:dyDescent="0.25">
      <c r="A168" s="115" t="s">
        <v>176</v>
      </c>
      <c r="B168" s="128"/>
      <c r="C168" s="129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31">
        <v>5</v>
      </c>
      <c r="AH168" s="47"/>
      <c r="AI168" s="48"/>
      <c r="AK168" s="50"/>
    </row>
    <row r="169" spans="1:37" x14ac:dyDescent="0.25">
      <c r="A169" s="115" t="s">
        <v>177</v>
      </c>
      <c r="B169" s="128"/>
      <c r="C169" s="129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31">
        <v>5</v>
      </c>
      <c r="AH169" s="47"/>
      <c r="AI169" s="48"/>
      <c r="AK169" s="50"/>
    </row>
    <row r="170" spans="1:37" x14ac:dyDescent="0.25">
      <c r="A170" s="115" t="s">
        <v>178</v>
      </c>
      <c r="B170" s="128"/>
      <c r="C170" s="129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31">
        <v>4.9930000000000003</v>
      </c>
      <c r="AH170" s="47"/>
      <c r="AI170" s="48"/>
      <c r="AK170" s="50"/>
    </row>
    <row r="171" spans="1:37" x14ac:dyDescent="0.25">
      <c r="A171" s="115" t="s">
        <v>179</v>
      </c>
      <c r="B171" s="128"/>
      <c r="C171" s="129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31">
        <v>4.9800000000000004</v>
      </c>
      <c r="AH171" s="47"/>
      <c r="AI171" s="48"/>
      <c r="AK171" s="50"/>
    </row>
    <row r="172" spans="1:37" x14ac:dyDescent="0.25">
      <c r="A172" s="115" t="s">
        <v>180</v>
      </c>
      <c r="B172" s="128"/>
      <c r="C172" s="129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31">
        <v>4.95</v>
      </c>
      <c r="AH172" s="47"/>
      <c r="AI172" s="48"/>
      <c r="AK172" s="50"/>
    </row>
    <row r="173" spans="1:37" x14ac:dyDescent="0.25">
      <c r="A173" s="115" t="s">
        <v>181</v>
      </c>
      <c r="B173" s="128"/>
      <c r="C173" s="129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31">
        <v>4.95</v>
      </c>
      <c r="AH173" s="47"/>
      <c r="AI173" s="48"/>
      <c r="AK173" s="50"/>
    </row>
    <row r="174" spans="1:37" x14ac:dyDescent="0.25">
      <c r="A174" s="115" t="s">
        <v>182</v>
      </c>
      <c r="B174" s="128"/>
      <c r="C174" s="129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31">
        <v>4.8</v>
      </c>
      <c r="AH174" s="47"/>
      <c r="AI174" s="48"/>
      <c r="AK174" s="50"/>
    </row>
    <row r="175" spans="1:37" x14ac:dyDescent="0.25">
      <c r="A175" s="115" t="s">
        <v>183</v>
      </c>
      <c r="B175" s="128"/>
      <c r="C175" s="129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31">
        <v>4.8</v>
      </c>
      <c r="AH175" s="47"/>
      <c r="AI175" s="48"/>
      <c r="AK175" s="50"/>
    </row>
    <row r="176" spans="1:37" x14ac:dyDescent="0.25">
      <c r="A176" s="115" t="s">
        <v>184</v>
      </c>
      <c r="B176" s="128"/>
      <c r="C176" s="129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31">
        <v>4.8</v>
      </c>
      <c r="AH176" s="47"/>
      <c r="AI176" s="48"/>
      <c r="AK176" s="50"/>
    </row>
    <row r="177" spans="1:37" x14ac:dyDescent="0.25">
      <c r="A177" s="115" t="s">
        <v>185</v>
      </c>
      <c r="B177" s="128"/>
      <c r="C177" s="129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31">
        <v>4.5</v>
      </c>
      <c r="AH177" s="47"/>
      <c r="AI177" s="48"/>
      <c r="AK177" s="50"/>
    </row>
    <row r="178" spans="1:37" x14ac:dyDescent="0.25">
      <c r="A178" s="115" t="s">
        <v>186</v>
      </c>
      <c r="B178" s="128"/>
      <c r="C178" s="129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31">
        <v>4.5</v>
      </c>
      <c r="AH178" s="47"/>
      <c r="AI178" s="48"/>
      <c r="AK178" s="50"/>
    </row>
    <row r="179" spans="1:37" x14ac:dyDescent="0.25">
      <c r="A179" s="115" t="s">
        <v>187</v>
      </c>
      <c r="B179" s="128"/>
      <c r="C179" s="129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31">
        <v>4.4550000000000001</v>
      </c>
      <c r="AH179" s="47"/>
      <c r="AI179" s="48"/>
      <c r="AK179" s="50"/>
    </row>
    <row r="180" spans="1:37" x14ac:dyDescent="0.25">
      <c r="A180" s="115" t="s">
        <v>188</v>
      </c>
      <c r="B180" s="128"/>
      <c r="C180" s="129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31">
        <v>4.41</v>
      </c>
      <c r="AH180" s="47"/>
      <c r="AI180" s="48"/>
      <c r="AK180" s="50"/>
    </row>
    <row r="181" spans="1:37" x14ac:dyDescent="0.25">
      <c r="A181" s="115" t="s">
        <v>189</v>
      </c>
      <c r="B181" s="128"/>
      <c r="C181" s="129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31">
        <v>4.4000000000000004</v>
      </c>
      <c r="AH181" s="47"/>
      <c r="AI181" s="48"/>
      <c r="AK181" s="50"/>
    </row>
    <row r="182" spans="1:37" x14ac:dyDescent="0.25">
      <c r="A182" s="115" t="s">
        <v>190</v>
      </c>
      <c r="B182" s="128"/>
      <c r="C182" s="129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31">
        <v>4.3600000000000003</v>
      </c>
      <c r="AH182" s="47"/>
      <c r="AI182" s="48"/>
      <c r="AK182" s="50"/>
    </row>
    <row r="183" spans="1:37" x14ac:dyDescent="0.25">
      <c r="A183" s="115" t="s">
        <v>191</v>
      </c>
      <c r="B183" s="128"/>
      <c r="C183" s="129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31">
        <v>4.2</v>
      </c>
      <c r="AH183" s="47"/>
      <c r="AI183" s="48"/>
      <c r="AK183" s="50"/>
    </row>
    <row r="184" spans="1:37" x14ac:dyDescent="0.25">
      <c r="A184" s="115" t="s">
        <v>192</v>
      </c>
      <c r="B184" s="128"/>
      <c r="C184" s="129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31">
        <v>4</v>
      </c>
      <c r="AH184" s="47"/>
      <c r="AI184" s="48"/>
      <c r="AK184" s="50"/>
    </row>
    <row r="185" spans="1:37" x14ac:dyDescent="0.25">
      <c r="A185" s="115" t="s">
        <v>193</v>
      </c>
      <c r="B185" s="128"/>
      <c r="C185" s="129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31">
        <v>4</v>
      </c>
      <c r="AH185" s="47"/>
      <c r="AI185" s="48"/>
      <c r="AK185" s="50"/>
    </row>
    <row r="186" spans="1:37" x14ac:dyDescent="0.25">
      <c r="A186" s="115" t="s">
        <v>194</v>
      </c>
      <c r="B186" s="128"/>
      <c r="C186" s="129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31">
        <v>4</v>
      </c>
      <c r="AH186" s="47"/>
      <c r="AI186" s="48"/>
      <c r="AK186" s="50"/>
    </row>
    <row r="187" spans="1:37" x14ac:dyDescent="0.25">
      <c r="A187" s="115" t="s">
        <v>195</v>
      </c>
      <c r="B187" s="128"/>
      <c r="C187" s="129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31">
        <v>4</v>
      </c>
      <c r="AH187" s="47"/>
      <c r="AI187" s="48"/>
      <c r="AK187" s="50"/>
    </row>
    <row r="188" spans="1:37" x14ac:dyDescent="0.25">
      <c r="A188" s="115" t="s">
        <v>196</v>
      </c>
      <c r="B188" s="128"/>
      <c r="C188" s="129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31">
        <v>4</v>
      </c>
      <c r="AH188" s="47"/>
      <c r="AI188" s="48"/>
      <c r="AK188" s="50"/>
    </row>
    <row r="189" spans="1:37" x14ac:dyDescent="0.25">
      <c r="A189" s="115" t="s">
        <v>197</v>
      </c>
      <c r="B189" s="128"/>
      <c r="C189" s="129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31">
        <v>4</v>
      </c>
      <c r="AH189" s="47"/>
      <c r="AI189" s="48"/>
      <c r="AK189" s="50"/>
    </row>
    <row r="190" spans="1:37" x14ac:dyDescent="0.25">
      <c r="A190" s="115" t="s">
        <v>198</v>
      </c>
      <c r="B190" s="128"/>
      <c r="C190" s="129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31">
        <v>4</v>
      </c>
      <c r="AH190" s="47"/>
      <c r="AI190" s="48"/>
      <c r="AK190" s="50"/>
    </row>
    <row r="191" spans="1:37" x14ac:dyDescent="0.25">
      <c r="A191" s="115" t="s">
        <v>199</v>
      </c>
      <c r="B191" s="128"/>
      <c r="C191" s="129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31">
        <v>4</v>
      </c>
      <c r="AH191" s="47"/>
      <c r="AI191" s="48"/>
      <c r="AK191" s="50"/>
    </row>
    <row r="192" spans="1:37" x14ac:dyDescent="0.25">
      <c r="A192" s="115" t="s">
        <v>200</v>
      </c>
      <c r="B192" s="128"/>
      <c r="C192" s="129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31">
        <v>3.75</v>
      </c>
      <c r="AH192" s="47"/>
      <c r="AI192" s="48"/>
      <c r="AK192" s="50"/>
    </row>
    <row r="193" spans="1:37" x14ac:dyDescent="0.25">
      <c r="A193" s="115" t="s">
        <v>201</v>
      </c>
      <c r="B193" s="128"/>
      <c r="C193" s="129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31">
        <v>3.52</v>
      </c>
      <c r="AH193" s="47"/>
      <c r="AI193" s="48"/>
      <c r="AK193" s="50"/>
    </row>
    <row r="194" spans="1:37" x14ac:dyDescent="0.25">
      <c r="A194" s="115" t="s">
        <v>202</v>
      </c>
      <c r="B194" s="128"/>
      <c r="C194" s="129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31">
        <v>3.33</v>
      </c>
      <c r="AH194" s="47"/>
      <c r="AI194" s="48"/>
      <c r="AK194" s="50"/>
    </row>
    <row r="195" spans="1:37" x14ac:dyDescent="0.25">
      <c r="A195" s="115" t="s">
        <v>203</v>
      </c>
      <c r="B195" s="128"/>
      <c r="C195" s="129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31">
        <v>3.2</v>
      </c>
      <c r="AH195" s="47"/>
      <c r="AI195" s="48"/>
      <c r="AK195" s="50"/>
    </row>
    <row r="196" spans="1:37" x14ac:dyDescent="0.25">
      <c r="A196" s="115" t="s">
        <v>204</v>
      </c>
      <c r="B196" s="128"/>
      <c r="C196" s="129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31">
        <v>3</v>
      </c>
      <c r="AH196" s="47"/>
      <c r="AI196" s="48"/>
      <c r="AK196" s="50"/>
    </row>
    <row r="197" spans="1:37" x14ac:dyDescent="0.25">
      <c r="A197" s="115" t="s">
        <v>205</v>
      </c>
      <c r="B197" s="128"/>
      <c r="C197" s="129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31">
        <v>3</v>
      </c>
      <c r="AH197" s="47"/>
      <c r="AI197" s="48"/>
      <c r="AK197" s="50"/>
    </row>
    <row r="198" spans="1:37" x14ac:dyDescent="0.25">
      <c r="A198" s="115" t="s">
        <v>206</v>
      </c>
      <c r="B198" s="128"/>
      <c r="C198" s="129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31">
        <v>3</v>
      </c>
      <c r="AH198" s="47"/>
      <c r="AI198" s="48"/>
      <c r="AK198" s="50"/>
    </row>
    <row r="199" spans="1:37" x14ac:dyDescent="0.25">
      <c r="A199" s="115" t="s">
        <v>207</v>
      </c>
      <c r="B199" s="128"/>
      <c r="C199" s="129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31">
        <v>3</v>
      </c>
      <c r="AH199" s="47"/>
      <c r="AI199" s="48"/>
      <c r="AK199" s="50"/>
    </row>
    <row r="200" spans="1:37" x14ac:dyDescent="0.25">
      <c r="A200" s="115" t="s">
        <v>208</v>
      </c>
      <c r="B200" s="128"/>
      <c r="C200" s="129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31">
        <v>3</v>
      </c>
      <c r="AH200" s="47"/>
      <c r="AI200" s="48"/>
      <c r="AK200" s="50"/>
    </row>
    <row r="201" spans="1:37" x14ac:dyDescent="0.25">
      <c r="A201" s="115" t="s">
        <v>209</v>
      </c>
      <c r="B201" s="128"/>
      <c r="C201" s="129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31">
        <v>3</v>
      </c>
      <c r="AH201" s="47"/>
      <c r="AI201" s="48"/>
      <c r="AK201" s="50"/>
    </row>
    <row r="202" spans="1:37" x14ac:dyDescent="0.25">
      <c r="A202" s="115" t="s">
        <v>210</v>
      </c>
      <c r="B202" s="128"/>
      <c r="C202" s="129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31">
        <v>3</v>
      </c>
      <c r="AH202" s="47"/>
      <c r="AI202" s="48"/>
      <c r="AK202" s="50"/>
    </row>
    <row r="203" spans="1:37" x14ac:dyDescent="0.25">
      <c r="A203" s="115" t="s">
        <v>211</v>
      </c>
      <c r="B203" s="128"/>
      <c r="C203" s="129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31">
        <v>3</v>
      </c>
      <c r="AH203" s="47"/>
      <c r="AI203" s="48"/>
      <c r="AK203" s="50"/>
    </row>
    <row r="204" spans="1:37" x14ac:dyDescent="0.25">
      <c r="A204" s="115" t="s">
        <v>212</v>
      </c>
      <c r="B204" s="128"/>
      <c r="C204" s="129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31">
        <v>2.83</v>
      </c>
      <c r="AH204" s="47"/>
      <c r="AI204" s="48"/>
      <c r="AK204" s="50"/>
    </row>
    <row r="205" spans="1:37" x14ac:dyDescent="0.25">
      <c r="A205" s="115" t="s">
        <v>213</v>
      </c>
      <c r="B205" s="128"/>
      <c r="C205" s="129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31">
        <v>2.5</v>
      </c>
      <c r="AH205" s="47"/>
      <c r="AI205" s="48"/>
      <c r="AK205" s="50"/>
    </row>
    <row r="206" spans="1:37" x14ac:dyDescent="0.25">
      <c r="A206" s="115" t="s">
        <v>214</v>
      </c>
      <c r="B206" s="128"/>
      <c r="C206" s="129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31">
        <v>2.5</v>
      </c>
      <c r="AH206" s="47"/>
      <c r="AI206" s="48"/>
      <c r="AK206" s="50"/>
    </row>
    <row r="207" spans="1:37" x14ac:dyDescent="0.25">
      <c r="A207" s="115" t="s">
        <v>215</v>
      </c>
      <c r="B207" s="128"/>
      <c r="C207" s="129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31">
        <v>2.4</v>
      </c>
      <c r="AH207" s="47"/>
      <c r="AI207" s="48"/>
      <c r="AK207" s="50"/>
    </row>
    <row r="208" spans="1:37" x14ac:dyDescent="0.25">
      <c r="A208" s="115" t="s">
        <v>216</v>
      </c>
      <c r="B208" s="128"/>
      <c r="C208" s="129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31">
        <v>2.4</v>
      </c>
      <c r="AH208" s="47"/>
      <c r="AI208" s="48"/>
      <c r="AK208" s="50"/>
    </row>
    <row r="209" spans="1:37" x14ac:dyDescent="0.25">
      <c r="A209" s="115" t="s">
        <v>217</v>
      </c>
      <c r="B209" s="128"/>
      <c r="C209" s="129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31">
        <v>2.2000000000000002</v>
      </c>
      <c r="AH209" s="47"/>
      <c r="AI209" s="48"/>
      <c r="AK209" s="50"/>
    </row>
    <row r="210" spans="1:37" x14ac:dyDescent="0.25">
      <c r="A210" s="115" t="s">
        <v>218</v>
      </c>
      <c r="B210" s="128"/>
      <c r="C210" s="129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31">
        <v>2</v>
      </c>
      <c r="AH210" s="47"/>
      <c r="AI210" s="48"/>
      <c r="AK210" s="50"/>
    </row>
    <row r="211" spans="1:37" x14ac:dyDescent="0.25">
      <c r="A211" s="115" t="s">
        <v>219</v>
      </c>
      <c r="B211" s="128"/>
      <c r="C211" s="129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31">
        <v>2</v>
      </c>
      <c r="AH211" s="47"/>
      <c r="AI211" s="48"/>
      <c r="AK211" s="50"/>
    </row>
    <row r="212" spans="1:37" x14ac:dyDescent="0.25">
      <c r="A212" s="115" t="s">
        <v>220</v>
      </c>
      <c r="B212" s="128"/>
      <c r="C212" s="129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31">
        <v>2</v>
      </c>
      <c r="AH212" s="47"/>
      <c r="AI212" s="48"/>
      <c r="AK212" s="50"/>
    </row>
    <row r="213" spans="1:37" x14ac:dyDescent="0.25">
      <c r="A213" s="115" t="s">
        <v>221</v>
      </c>
      <c r="B213" s="128"/>
      <c r="C213" s="129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31">
        <v>1.8</v>
      </c>
      <c r="AH213" s="47"/>
      <c r="AI213" s="48"/>
      <c r="AK213" s="50"/>
    </row>
    <row r="214" spans="1:37" x14ac:dyDescent="0.25">
      <c r="A214" s="115" t="s">
        <v>222</v>
      </c>
      <c r="B214" s="128"/>
      <c r="C214" s="129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31">
        <v>1.8</v>
      </c>
      <c r="AH214" s="47"/>
      <c r="AI214" s="48"/>
      <c r="AK214" s="50"/>
    </row>
    <row r="215" spans="1:37" x14ac:dyDescent="0.25">
      <c r="A215" s="115" t="s">
        <v>223</v>
      </c>
      <c r="B215" s="128"/>
      <c r="C215" s="129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31">
        <v>1.65</v>
      </c>
      <c r="AH215" s="47"/>
      <c r="AI215" s="48"/>
      <c r="AK215" s="50"/>
    </row>
    <row r="216" spans="1:37" x14ac:dyDescent="0.25">
      <c r="A216" s="115" t="s">
        <v>224</v>
      </c>
      <c r="B216" s="128"/>
      <c r="C216" s="129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31">
        <v>1.5</v>
      </c>
      <c r="AH216" s="47"/>
      <c r="AI216" s="48"/>
      <c r="AK216" s="50"/>
    </row>
    <row r="217" spans="1:37" x14ac:dyDescent="0.25">
      <c r="A217" s="115" t="s">
        <v>225</v>
      </c>
      <c r="B217" s="128"/>
      <c r="C217" s="129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31">
        <v>0.998</v>
      </c>
      <c r="AH217" s="47"/>
      <c r="AI217" s="48"/>
      <c r="AK217" s="50"/>
    </row>
    <row r="218" spans="1:37" x14ac:dyDescent="0.25">
      <c r="A218" s="115" t="s">
        <v>226</v>
      </c>
      <c r="B218" s="128"/>
      <c r="C218" s="129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31">
        <v>0.997</v>
      </c>
      <c r="AH218" s="47"/>
      <c r="AI218" s="48"/>
      <c r="AK218" s="50"/>
    </row>
    <row r="219" spans="1:37" x14ac:dyDescent="0.25">
      <c r="A219" s="115" t="s">
        <v>227</v>
      </c>
      <c r="B219" s="128"/>
      <c r="C219" s="129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31">
        <v>0.997</v>
      </c>
      <c r="AH219" s="47"/>
      <c r="AI219" s="48"/>
      <c r="AK219" s="50"/>
    </row>
    <row r="220" spans="1:37" x14ac:dyDescent="0.25">
      <c r="A220" s="115" t="s">
        <v>228</v>
      </c>
      <c r="B220" s="128"/>
      <c r="C220" s="129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31">
        <v>0.996</v>
      </c>
      <c r="AH220" s="47"/>
      <c r="AI220" s="48"/>
      <c r="AK220" s="50"/>
    </row>
    <row r="221" spans="1:37" x14ac:dyDescent="0.25">
      <c r="A221" s="115" t="s">
        <v>229</v>
      </c>
      <c r="B221" s="128"/>
      <c r="C221" s="129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31">
        <v>0.996</v>
      </c>
      <c r="AH221" s="47"/>
      <c r="AI221" s="48"/>
      <c r="AK221" s="50"/>
    </row>
    <row r="222" spans="1:37" x14ac:dyDescent="0.25">
      <c r="A222" s="115" t="s">
        <v>230</v>
      </c>
      <c r="B222" s="128"/>
      <c r="C222" s="129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31">
        <v>0.996</v>
      </c>
      <c r="AH222" s="47"/>
      <c r="AI222" s="48"/>
      <c r="AK222" s="50"/>
    </row>
    <row r="223" spans="1:37" x14ac:dyDescent="0.25">
      <c r="A223" s="115" t="s">
        <v>231</v>
      </c>
      <c r="B223" s="128"/>
      <c r="C223" s="129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31">
        <v>0.995</v>
      </c>
      <c r="AH223" s="47"/>
      <c r="AI223" s="48"/>
      <c r="AK223" s="50"/>
    </row>
    <row r="224" spans="1:37" x14ac:dyDescent="0.25">
      <c r="A224" s="115" t="s">
        <v>232</v>
      </c>
      <c r="B224" s="128"/>
      <c r="C224" s="129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31">
        <v>0.99299999999999999</v>
      </c>
      <c r="AH224" s="47"/>
      <c r="AI224" s="48"/>
      <c r="AK224" s="50"/>
    </row>
    <row r="225" spans="1:37" x14ac:dyDescent="0.25">
      <c r="A225" s="115" t="s">
        <v>233</v>
      </c>
      <c r="B225" s="128"/>
      <c r="C225" s="126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31">
        <v>0.99</v>
      </c>
      <c r="AH225" s="47"/>
      <c r="AI225" s="48"/>
      <c r="AK225" s="50"/>
    </row>
    <row r="226" spans="1:37" ht="15.75" thickBot="1" x14ac:dyDescent="0.3">
      <c r="A226" s="115" t="s">
        <v>234</v>
      </c>
      <c r="B226" s="132"/>
      <c r="C226" s="133"/>
      <c r="D226" s="132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1">
        <v>0.97899999999999998</v>
      </c>
      <c r="AH226" s="47"/>
      <c r="AI226" s="48"/>
      <c r="AK226" s="50"/>
    </row>
    <row r="227" spans="1:37" ht="15.75" thickBot="1" x14ac:dyDescent="0.3">
      <c r="A227" s="134" t="s">
        <v>235</v>
      </c>
      <c r="B227" s="135">
        <f t="shared" ref="B227:AG227" si="18">SUM(B122:B226)</f>
        <v>0</v>
      </c>
      <c r="C227" s="136">
        <f t="shared" si="18"/>
        <v>0</v>
      </c>
      <c r="D227" s="136">
        <f t="shared" si="18"/>
        <v>0</v>
      </c>
      <c r="E227" s="136">
        <f t="shared" si="18"/>
        <v>0</v>
      </c>
      <c r="F227" s="136">
        <f t="shared" si="18"/>
        <v>0</v>
      </c>
      <c r="G227" s="136">
        <f t="shared" si="18"/>
        <v>0</v>
      </c>
      <c r="H227" s="136">
        <f t="shared" si="18"/>
        <v>0</v>
      </c>
      <c r="I227" s="136">
        <f t="shared" si="18"/>
        <v>0</v>
      </c>
      <c r="J227" s="136">
        <f t="shared" si="18"/>
        <v>0</v>
      </c>
      <c r="K227" s="136">
        <f t="shared" si="18"/>
        <v>0</v>
      </c>
      <c r="L227" s="136">
        <f t="shared" si="18"/>
        <v>0</v>
      </c>
      <c r="M227" s="136">
        <f t="shared" si="18"/>
        <v>0</v>
      </c>
      <c r="N227" s="136">
        <f t="shared" si="18"/>
        <v>0</v>
      </c>
      <c r="O227" s="136">
        <f t="shared" si="18"/>
        <v>0</v>
      </c>
      <c r="P227" s="136">
        <f t="shared" si="18"/>
        <v>0</v>
      </c>
      <c r="Q227" s="136">
        <f t="shared" si="18"/>
        <v>0</v>
      </c>
      <c r="R227" s="136">
        <f t="shared" si="18"/>
        <v>0</v>
      </c>
      <c r="S227" s="136">
        <f t="shared" si="18"/>
        <v>0</v>
      </c>
      <c r="T227" s="136">
        <f t="shared" si="18"/>
        <v>0</v>
      </c>
      <c r="U227" s="136">
        <f t="shared" si="18"/>
        <v>0</v>
      </c>
      <c r="V227" s="136">
        <f t="shared" si="18"/>
        <v>0</v>
      </c>
      <c r="W227" s="136">
        <f t="shared" si="18"/>
        <v>0</v>
      </c>
      <c r="X227" s="136">
        <f t="shared" si="18"/>
        <v>0</v>
      </c>
      <c r="Y227" s="136">
        <f t="shared" si="18"/>
        <v>0</v>
      </c>
      <c r="Z227" s="136">
        <f t="shared" si="18"/>
        <v>0</v>
      </c>
      <c r="AA227" s="136">
        <f t="shared" si="18"/>
        <v>0</v>
      </c>
      <c r="AB227" s="136">
        <f t="shared" si="18"/>
        <v>0</v>
      </c>
      <c r="AC227" s="136">
        <f t="shared" si="18"/>
        <v>0</v>
      </c>
      <c r="AD227" s="136">
        <f t="shared" si="18"/>
        <v>0</v>
      </c>
      <c r="AE227" s="136">
        <f t="shared" si="18"/>
        <v>0</v>
      </c>
      <c r="AF227" s="137">
        <f t="shared" si="18"/>
        <v>0</v>
      </c>
      <c r="AG227" s="138">
        <f t="shared" si="18"/>
        <v>412.72299999999984</v>
      </c>
      <c r="AH227" s="47"/>
      <c r="AI227" s="48"/>
      <c r="AK227" s="50"/>
    </row>
    <row r="228" spans="1:37" ht="15.75" thickBot="1" x14ac:dyDescent="0.3">
      <c r="A228" s="26" t="s">
        <v>75</v>
      </c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18"/>
      <c r="AH228" s="47"/>
      <c r="AI228" s="48"/>
      <c r="AK228" s="50"/>
    </row>
    <row r="229" spans="1:37" x14ac:dyDescent="0.25">
      <c r="A229" s="99" t="s">
        <v>236</v>
      </c>
      <c r="B229" s="140">
        <f t="shared" ref="B229:B234" si="19">AF229</f>
        <v>0</v>
      </c>
      <c r="C229" s="140">
        <v>0.3</v>
      </c>
      <c r="D229" s="140">
        <f t="shared" ref="D229:P234" si="20">C229</f>
        <v>0.3</v>
      </c>
      <c r="E229" s="140">
        <f t="shared" si="20"/>
        <v>0.3</v>
      </c>
      <c r="F229" s="140">
        <f t="shared" si="20"/>
        <v>0.3</v>
      </c>
      <c r="G229" s="140">
        <f t="shared" si="20"/>
        <v>0.3</v>
      </c>
      <c r="H229" s="140">
        <f t="shared" si="20"/>
        <v>0.3</v>
      </c>
      <c r="I229" s="140">
        <f t="shared" si="20"/>
        <v>0.3</v>
      </c>
      <c r="J229" s="140">
        <f t="shared" si="20"/>
        <v>0.3</v>
      </c>
      <c r="K229" s="140">
        <f t="shared" si="20"/>
        <v>0.3</v>
      </c>
      <c r="L229" s="140">
        <f t="shared" si="20"/>
        <v>0.3</v>
      </c>
      <c r="M229" s="140">
        <f t="shared" si="20"/>
        <v>0.3</v>
      </c>
      <c r="N229" s="140">
        <f t="shared" si="20"/>
        <v>0.3</v>
      </c>
      <c r="O229" s="140">
        <f t="shared" si="20"/>
        <v>0.3</v>
      </c>
      <c r="P229" s="140">
        <f t="shared" si="20"/>
        <v>0.3</v>
      </c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1">
        <v>2.4</v>
      </c>
      <c r="AH229" s="47"/>
      <c r="AI229" s="48"/>
      <c r="AK229" s="50"/>
    </row>
    <row r="230" spans="1:37" ht="15.75" thickBot="1" x14ac:dyDescent="0.3">
      <c r="A230" s="102" t="s">
        <v>237</v>
      </c>
      <c r="B230" s="128">
        <f t="shared" si="19"/>
        <v>0</v>
      </c>
      <c r="C230" s="128">
        <v>0.4</v>
      </c>
      <c r="D230" s="128">
        <f t="shared" si="20"/>
        <v>0.4</v>
      </c>
      <c r="E230" s="128">
        <f t="shared" si="20"/>
        <v>0.4</v>
      </c>
      <c r="F230" s="128">
        <f t="shared" si="20"/>
        <v>0.4</v>
      </c>
      <c r="G230" s="128">
        <f t="shared" si="20"/>
        <v>0.4</v>
      </c>
      <c r="H230" s="128">
        <f t="shared" si="20"/>
        <v>0.4</v>
      </c>
      <c r="I230" s="128">
        <f t="shared" si="20"/>
        <v>0.4</v>
      </c>
      <c r="J230" s="128">
        <f t="shared" si="20"/>
        <v>0.4</v>
      </c>
      <c r="K230" s="128">
        <f t="shared" si="20"/>
        <v>0.4</v>
      </c>
      <c r="L230" s="128">
        <f t="shared" si="20"/>
        <v>0.4</v>
      </c>
      <c r="M230" s="128">
        <f t="shared" si="20"/>
        <v>0.4</v>
      </c>
      <c r="N230" s="128">
        <f t="shared" si="20"/>
        <v>0.4</v>
      </c>
      <c r="O230" s="128">
        <f t="shared" si="20"/>
        <v>0.4</v>
      </c>
      <c r="P230" s="128">
        <f t="shared" si="20"/>
        <v>0.4</v>
      </c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42">
        <v>2</v>
      </c>
      <c r="AH230" s="47"/>
      <c r="AI230" s="48"/>
      <c r="AK230" s="50"/>
    </row>
    <row r="231" spans="1:37" x14ac:dyDescent="0.25">
      <c r="A231" s="102" t="s">
        <v>238</v>
      </c>
      <c r="B231" s="128">
        <f t="shared" si="19"/>
        <v>0</v>
      </c>
      <c r="C231" s="128">
        <v>1.5</v>
      </c>
      <c r="D231" s="128">
        <f t="shared" si="20"/>
        <v>1.5</v>
      </c>
      <c r="E231" s="128">
        <f t="shared" si="20"/>
        <v>1.5</v>
      </c>
      <c r="F231" s="128">
        <f t="shared" si="20"/>
        <v>1.5</v>
      </c>
      <c r="G231" s="128">
        <f t="shared" si="20"/>
        <v>1.5</v>
      </c>
      <c r="H231" s="128">
        <f t="shared" si="20"/>
        <v>1.5</v>
      </c>
      <c r="I231" s="110">
        <f ca="1">SUM(I143,I149,I152:I153,I179,I181:I182,I184,I186,I232:I236,I258,I264,I270,I279,I281,I293,I300,I303:I304,I311,I313,I315,I319:I321,I323:I325,I330,I336:I337,I339:I341,I349,I354)</f>
        <v>123.21900000000009</v>
      </c>
      <c r="J231" s="128">
        <f t="shared" ca="1" si="20"/>
        <v>123.21900000000009</v>
      </c>
      <c r="K231" s="128">
        <f t="shared" ca="1" si="20"/>
        <v>123.21900000000009</v>
      </c>
      <c r="L231" s="128">
        <f t="shared" ca="1" si="20"/>
        <v>123.21900000000009</v>
      </c>
      <c r="M231" s="128">
        <f t="shared" ca="1" si="20"/>
        <v>119.19900000000008</v>
      </c>
      <c r="N231" s="128">
        <f t="shared" ca="1" si="20"/>
        <v>119.19900000000008</v>
      </c>
      <c r="O231" s="128">
        <f t="shared" ca="1" si="20"/>
        <v>119.19900000000008</v>
      </c>
      <c r="P231" s="128">
        <f t="shared" ca="1" si="20"/>
        <v>119.19900000000008</v>
      </c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42">
        <v>1.5</v>
      </c>
      <c r="AH231" s="47"/>
      <c r="AI231" s="48"/>
      <c r="AK231" s="50"/>
    </row>
    <row r="232" spans="1:37" x14ac:dyDescent="0.25">
      <c r="A232" s="102" t="s">
        <v>239</v>
      </c>
      <c r="B232" s="128">
        <f t="shared" si="19"/>
        <v>0</v>
      </c>
      <c r="C232" s="128">
        <v>0.3</v>
      </c>
      <c r="D232" s="128">
        <f t="shared" si="20"/>
        <v>0.3</v>
      </c>
      <c r="E232" s="128">
        <f t="shared" si="20"/>
        <v>0.3</v>
      </c>
      <c r="F232" s="128">
        <f t="shared" si="20"/>
        <v>0.3</v>
      </c>
      <c r="G232" s="128">
        <f t="shared" si="20"/>
        <v>0.3</v>
      </c>
      <c r="H232" s="128">
        <f t="shared" si="20"/>
        <v>0.3</v>
      </c>
      <c r="I232" s="128">
        <f t="shared" si="20"/>
        <v>0.3</v>
      </c>
      <c r="J232" s="128">
        <f t="shared" si="20"/>
        <v>0.3</v>
      </c>
      <c r="K232" s="128">
        <f t="shared" si="20"/>
        <v>0.3</v>
      </c>
      <c r="L232" s="128">
        <f t="shared" si="20"/>
        <v>0.3</v>
      </c>
      <c r="M232" s="128">
        <f t="shared" si="20"/>
        <v>0.3</v>
      </c>
      <c r="N232" s="128">
        <f t="shared" si="20"/>
        <v>0.3</v>
      </c>
      <c r="O232" s="128">
        <f t="shared" si="20"/>
        <v>0.3</v>
      </c>
      <c r="P232" s="128">
        <f t="shared" si="20"/>
        <v>0.3</v>
      </c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42">
        <v>1</v>
      </c>
      <c r="AH232" s="47"/>
      <c r="AI232" s="48"/>
      <c r="AK232" s="50"/>
    </row>
    <row r="233" spans="1:37" x14ac:dyDescent="0.25">
      <c r="A233" s="102" t="s">
        <v>240</v>
      </c>
      <c r="B233" s="128">
        <f t="shared" si="19"/>
        <v>0</v>
      </c>
      <c r="C233" s="128">
        <v>0.4</v>
      </c>
      <c r="D233" s="128">
        <f t="shared" si="20"/>
        <v>0.4</v>
      </c>
      <c r="E233" s="128">
        <f t="shared" si="20"/>
        <v>0.4</v>
      </c>
      <c r="F233" s="128">
        <f t="shared" si="20"/>
        <v>0.4</v>
      </c>
      <c r="G233" s="128">
        <f t="shared" si="20"/>
        <v>0.4</v>
      </c>
      <c r="H233" s="128">
        <f t="shared" si="20"/>
        <v>0.4</v>
      </c>
      <c r="I233" s="128">
        <f t="shared" si="20"/>
        <v>0.4</v>
      </c>
      <c r="J233" s="128">
        <f t="shared" si="20"/>
        <v>0.4</v>
      </c>
      <c r="K233" s="128">
        <f t="shared" si="20"/>
        <v>0.4</v>
      </c>
      <c r="L233" s="128">
        <f t="shared" si="20"/>
        <v>0.4</v>
      </c>
      <c r="M233" s="128">
        <f t="shared" si="20"/>
        <v>0.4</v>
      </c>
      <c r="N233" s="128">
        <f t="shared" si="20"/>
        <v>0.4</v>
      </c>
      <c r="O233" s="128">
        <f t="shared" si="20"/>
        <v>0.4</v>
      </c>
      <c r="P233" s="128">
        <f t="shared" si="20"/>
        <v>0.4</v>
      </c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42">
        <v>1</v>
      </c>
      <c r="AH233" s="47"/>
      <c r="AI233" s="48"/>
      <c r="AK233" s="50"/>
    </row>
    <row r="234" spans="1:37" ht="15.75" thickBot="1" x14ac:dyDescent="0.3">
      <c r="A234" s="115" t="s">
        <v>241</v>
      </c>
      <c r="B234" s="132">
        <f t="shared" si="19"/>
        <v>0</v>
      </c>
      <c r="C234" s="132">
        <v>0.64</v>
      </c>
      <c r="D234" s="132">
        <f t="shared" si="20"/>
        <v>0.64</v>
      </c>
      <c r="E234" s="132">
        <f t="shared" si="20"/>
        <v>0.64</v>
      </c>
      <c r="F234" s="132">
        <f t="shared" si="20"/>
        <v>0.64</v>
      </c>
      <c r="G234" s="132">
        <f t="shared" si="20"/>
        <v>0.64</v>
      </c>
      <c r="H234" s="132">
        <f t="shared" si="20"/>
        <v>0.64</v>
      </c>
      <c r="I234" s="132">
        <f t="shared" si="20"/>
        <v>0.64</v>
      </c>
      <c r="J234" s="132">
        <f t="shared" si="20"/>
        <v>0.64</v>
      </c>
      <c r="K234" s="132">
        <f t="shared" si="20"/>
        <v>0.64</v>
      </c>
      <c r="L234" s="132">
        <f t="shared" si="20"/>
        <v>0.64</v>
      </c>
      <c r="M234" s="132">
        <f t="shared" si="20"/>
        <v>0.64</v>
      </c>
      <c r="N234" s="132">
        <f t="shared" si="20"/>
        <v>0.64</v>
      </c>
      <c r="O234" s="132">
        <f t="shared" si="20"/>
        <v>0.64</v>
      </c>
      <c r="P234" s="132">
        <f t="shared" si="20"/>
        <v>0.64</v>
      </c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43">
        <v>0.66</v>
      </c>
      <c r="AH234" s="47"/>
      <c r="AI234" s="48"/>
    </row>
    <row r="235" spans="1:37" ht="15.75" thickBot="1" x14ac:dyDescent="0.3">
      <c r="A235" s="144" t="s">
        <v>75</v>
      </c>
      <c r="B235" s="136">
        <f t="shared" ref="B235:AG235" si="21">SUM(B229:B234)</f>
        <v>0</v>
      </c>
      <c r="C235" s="136">
        <f t="shared" si="21"/>
        <v>3.54</v>
      </c>
      <c r="D235" s="136">
        <f t="shared" si="21"/>
        <v>3.54</v>
      </c>
      <c r="E235" s="136">
        <f t="shared" si="21"/>
        <v>3.54</v>
      </c>
      <c r="F235" s="136">
        <f t="shared" si="21"/>
        <v>3.54</v>
      </c>
      <c r="G235" s="136">
        <f t="shared" si="21"/>
        <v>3.54</v>
      </c>
      <c r="H235" s="136">
        <f t="shared" si="21"/>
        <v>3.54</v>
      </c>
      <c r="I235" s="136">
        <f t="shared" ca="1" si="21"/>
        <v>121.23900000000009</v>
      </c>
      <c r="J235" s="136">
        <f t="shared" ca="1" si="21"/>
        <v>121.23900000000009</v>
      </c>
      <c r="K235" s="136">
        <f t="shared" ca="1" si="21"/>
        <v>121.23900000000009</v>
      </c>
      <c r="L235" s="136">
        <f t="shared" ca="1" si="21"/>
        <v>125.2590000000001</v>
      </c>
      <c r="M235" s="136">
        <f t="shared" ca="1" si="21"/>
        <v>121.23900000000009</v>
      </c>
      <c r="N235" s="136">
        <f t="shared" ca="1" si="21"/>
        <v>121.23900000000009</v>
      </c>
      <c r="O235" s="136">
        <f t="shared" ca="1" si="21"/>
        <v>121.23900000000009</v>
      </c>
      <c r="P235" s="136">
        <f t="shared" ca="1" si="21"/>
        <v>121.23900000000009</v>
      </c>
      <c r="Q235" s="136">
        <f t="shared" si="21"/>
        <v>0</v>
      </c>
      <c r="R235" s="136">
        <f t="shared" si="21"/>
        <v>0</v>
      </c>
      <c r="S235" s="136">
        <f t="shared" si="21"/>
        <v>0</v>
      </c>
      <c r="T235" s="136">
        <f t="shared" si="21"/>
        <v>0</v>
      </c>
      <c r="U235" s="136">
        <f t="shared" si="21"/>
        <v>0</v>
      </c>
      <c r="V235" s="136">
        <f t="shared" si="21"/>
        <v>0</v>
      </c>
      <c r="W235" s="136">
        <f t="shared" si="21"/>
        <v>0</v>
      </c>
      <c r="X235" s="136">
        <f t="shared" si="21"/>
        <v>0</v>
      </c>
      <c r="Y235" s="136">
        <f t="shared" si="21"/>
        <v>0</v>
      </c>
      <c r="Z235" s="136">
        <f t="shared" si="21"/>
        <v>0</v>
      </c>
      <c r="AA235" s="136">
        <f t="shared" si="21"/>
        <v>0</v>
      </c>
      <c r="AB235" s="136">
        <f t="shared" si="21"/>
        <v>0</v>
      </c>
      <c r="AC235" s="136">
        <f t="shared" si="21"/>
        <v>0</v>
      </c>
      <c r="AD235" s="136">
        <f t="shared" si="21"/>
        <v>0</v>
      </c>
      <c r="AE235" s="136">
        <f t="shared" si="21"/>
        <v>0</v>
      </c>
      <c r="AF235" s="136">
        <f t="shared" si="21"/>
        <v>0</v>
      </c>
      <c r="AG235" s="145">
        <f t="shared" si="21"/>
        <v>8.56</v>
      </c>
      <c r="AH235" s="47"/>
      <c r="AI235" s="48"/>
    </row>
    <row r="236" spans="1:37" ht="15.75" thickBot="1" x14ac:dyDescent="0.3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139"/>
      <c r="AH236" s="43"/>
    </row>
    <row r="237" spans="1:37" x14ac:dyDescent="0.25">
      <c r="A237" s="146" t="s">
        <v>242</v>
      </c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8"/>
      <c r="AG237" s="43"/>
      <c r="AH237" s="47"/>
      <c r="AI237" s="48"/>
    </row>
    <row r="238" spans="1:37" x14ac:dyDescent="0.25">
      <c r="A238" s="149" t="s">
        <v>243</v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1"/>
      <c r="AG238" s="152"/>
      <c r="AH238" s="47"/>
      <c r="AI238" s="48"/>
    </row>
    <row r="239" spans="1:37" x14ac:dyDescent="0.25">
      <c r="A239" s="153" t="s">
        <v>244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5"/>
      <c r="AG239" s="152"/>
      <c r="AH239" s="47"/>
      <c r="AI239" s="48"/>
    </row>
    <row r="240" spans="1:37" x14ac:dyDescent="0.25">
      <c r="A240" s="153" t="s">
        <v>245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5"/>
      <c r="AG240" s="152"/>
      <c r="AH240" s="47"/>
      <c r="AI240" s="48"/>
    </row>
    <row r="241" spans="1:50" ht="15.75" thickBot="1" x14ac:dyDescent="0.3">
      <c r="A241" s="156" t="s">
        <v>246</v>
      </c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57"/>
      <c r="AE241" s="157"/>
      <c r="AF241" s="158"/>
      <c r="AG241" s="152"/>
      <c r="AH241" s="47"/>
      <c r="AI241" s="48"/>
    </row>
    <row r="242" spans="1:50" x14ac:dyDescent="0.25"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</row>
    <row r="243" spans="1:50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</row>
    <row r="244" spans="1:50" x14ac:dyDescent="0.25">
      <c r="A244" s="159" t="s">
        <v>247</v>
      </c>
      <c r="B244" s="160">
        <f>MAX(G91:N91)</f>
        <v>3.54</v>
      </c>
      <c r="C244" s="161">
        <f>INDEX(G9:N9,1,MATCH(MAX(G91:N91),G91:N91,0))</f>
        <v>0.20833333333333301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</row>
    <row r="245" spans="1:50" x14ac:dyDescent="0.25"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162" t="str">
        <f ca="1">MID(CELL("filename",C7),FIND("]",CELL("filename",C7))+1,600)</f>
        <v>sample</v>
      </c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</row>
    <row r="246" spans="1:50" x14ac:dyDescent="0.25">
      <c r="A246" s="188" t="s">
        <v>248</v>
      </c>
      <c r="B246" s="188"/>
      <c r="C246" s="43"/>
      <c r="D246" s="162" t="e">
        <f ca="1">"Pie Chart of Daily Peak Demand(Inclusive of Export) of Nepal ("&amp;A4&amp;" "&amp;B4&amp;")"</f>
        <v>#VALUE!</v>
      </c>
      <c r="E246" s="43"/>
      <c r="F246" s="43"/>
      <c r="G246" s="162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162" t="e">
        <f ca="1">"Daily Load Curve(Excluding of Export) of Nepal ("&amp;A4&amp;" "&amp;B4&amp;")"</f>
        <v>#VALUE!</v>
      </c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</row>
    <row r="247" spans="1:50" ht="12.75" customHeight="1" thickBot="1" x14ac:dyDescent="0.3">
      <c r="A247" s="163" t="s">
        <v>7</v>
      </c>
      <c r="B247" s="164"/>
      <c r="C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</row>
    <row r="248" spans="1:50" ht="15.75" thickTop="1" x14ac:dyDescent="0.25">
      <c r="A248" s="163" t="s">
        <v>249</v>
      </c>
      <c r="B248" s="164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165" t="s">
        <v>250</v>
      </c>
      <c r="T248" s="166">
        <v>0</v>
      </c>
      <c r="U248" s="167">
        <v>4.1666666666666664E-2</v>
      </c>
      <c r="V248" s="168">
        <v>8.3333333333333301E-2</v>
      </c>
      <c r="W248" s="168">
        <v>0.125</v>
      </c>
      <c r="X248" s="168">
        <v>0.16666666666666699</v>
      </c>
      <c r="Y248" s="168">
        <v>0.20833333333333301</v>
      </c>
      <c r="Z248" s="168">
        <v>0.22916666666666666</v>
      </c>
      <c r="AA248" s="168">
        <v>0.25</v>
      </c>
      <c r="AB248" s="168">
        <v>0.27083333333333331</v>
      </c>
      <c r="AC248" s="168">
        <v>0.29166666666666669</v>
      </c>
      <c r="AD248" s="168">
        <v>0.3125</v>
      </c>
      <c r="AE248" s="169">
        <v>0.33333333333333331</v>
      </c>
      <c r="AF248" s="169">
        <v>0.375</v>
      </c>
      <c r="AG248" s="169">
        <v>0.41666666666666702</v>
      </c>
      <c r="AH248" s="169">
        <v>0.45833333333333298</v>
      </c>
      <c r="AI248" s="169">
        <v>0.5</v>
      </c>
      <c r="AJ248" s="169">
        <v>0.54166666666666696</v>
      </c>
      <c r="AK248" s="169">
        <v>0.58333333333333304</v>
      </c>
      <c r="AL248" s="169">
        <v>0.625</v>
      </c>
      <c r="AM248" s="169">
        <v>0.66666666666666696</v>
      </c>
      <c r="AN248" s="169">
        <v>0.70833333333333304</v>
      </c>
      <c r="AO248" s="169">
        <v>0.72916666666666663</v>
      </c>
      <c r="AP248" s="169">
        <v>0.75</v>
      </c>
      <c r="AQ248" s="169">
        <v>0.77083333333333337</v>
      </c>
      <c r="AR248" s="169">
        <v>0.79166666666666663</v>
      </c>
      <c r="AS248" s="169">
        <v>0.8125</v>
      </c>
      <c r="AT248" s="168">
        <v>0.83333333333333337</v>
      </c>
      <c r="AU248" s="168">
        <v>0.85416666666666663</v>
      </c>
      <c r="AV248" s="168">
        <v>0.875</v>
      </c>
      <c r="AW248" s="168">
        <v>0.91666666666666696</v>
      </c>
      <c r="AX248" s="168">
        <v>0.95833333333333304</v>
      </c>
    </row>
    <row r="249" spans="1:50" x14ac:dyDescent="0.25">
      <c r="A249" s="163" t="s">
        <v>251</v>
      </c>
      <c r="B249" s="164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 t="s">
        <v>252</v>
      </c>
      <c r="T249" s="170">
        <f t="shared" ref="T249:AX249" si="22">B91</f>
        <v>303.54000000000002</v>
      </c>
      <c r="U249" s="170">
        <f t="shared" si="22"/>
        <v>3.54</v>
      </c>
      <c r="V249" s="170">
        <f t="shared" si="22"/>
        <v>3.54</v>
      </c>
      <c r="W249" s="170">
        <f t="shared" si="22"/>
        <v>3.54</v>
      </c>
      <c r="X249" s="170">
        <f t="shared" si="22"/>
        <v>3.54</v>
      </c>
      <c r="Y249" s="170">
        <f t="shared" si="22"/>
        <v>3.54</v>
      </c>
      <c r="Z249" s="170">
        <f t="shared" si="22"/>
        <v>3.54</v>
      </c>
      <c r="AA249" s="170">
        <f t="shared" si="22"/>
        <v>3.54</v>
      </c>
      <c r="AB249" s="170">
        <f t="shared" si="22"/>
        <v>3.54</v>
      </c>
      <c r="AC249" s="170">
        <f t="shared" si="22"/>
        <v>3.54</v>
      </c>
      <c r="AD249" s="170">
        <f t="shared" si="22"/>
        <v>3.54</v>
      </c>
      <c r="AE249" s="170">
        <f t="shared" si="22"/>
        <v>3.54</v>
      </c>
      <c r="AF249" s="170">
        <f t="shared" si="22"/>
        <v>3.54</v>
      </c>
      <c r="AG249" s="170">
        <f t="shared" si="22"/>
        <v>3.54</v>
      </c>
      <c r="AH249" s="170">
        <f t="shared" si="22"/>
        <v>3.54</v>
      </c>
      <c r="AI249" s="170">
        <f t="shared" si="22"/>
        <v>3.54</v>
      </c>
      <c r="AJ249" s="170">
        <f t="shared" si="22"/>
        <v>3.54</v>
      </c>
      <c r="AK249" s="170">
        <f t="shared" si="22"/>
        <v>3.54</v>
      </c>
      <c r="AL249" s="170">
        <f t="shared" si="22"/>
        <v>3.54</v>
      </c>
      <c r="AM249" s="170">
        <f t="shared" si="22"/>
        <v>3.54</v>
      </c>
      <c r="AN249" s="170">
        <f t="shared" si="22"/>
        <v>3.54</v>
      </c>
      <c r="AO249" s="170">
        <f t="shared" si="22"/>
        <v>3.54</v>
      </c>
      <c r="AP249" s="170">
        <f t="shared" si="22"/>
        <v>3.54</v>
      </c>
      <c r="AQ249" s="170">
        <f t="shared" si="22"/>
        <v>3.54</v>
      </c>
      <c r="AR249" s="170">
        <f t="shared" si="22"/>
        <v>3.54</v>
      </c>
      <c r="AS249" s="170">
        <f t="shared" si="22"/>
        <v>3.54</v>
      </c>
      <c r="AT249" s="170">
        <f t="shared" si="22"/>
        <v>3.54</v>
      </c>
      <c r="AU249" s="170">
        <f t="shared" si="22"/>
        <v>3.54</v>
      </c>
      <c r="AV249" s="170">
        <f t="shared" si="22"/>
        <v>3.54</v>
      </c>
      <c r="AW249" s="170">
        <f t="shared" si="22"/>
        <v>3.54</v>
      </c>
      <c r="AX249" s="170">
        <f t="shared" si="22"/>
        <v>3.54</v>
      </c>
    </row>
    <row r="250" spans="1:50" x14ac:dyDescent="0.25">
      <c r="A250" s="163" t="s">
        <v>253</v>
      </c>
      <c r="B250" s="164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</row>
    <row r="251" spans="1:50" x14ac:dyDescent="0.25">
      <c r="A251" s="163" t="s">
        <v>254</v>
      </c>
      <c r="B251" s="164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</row>
    <row r="252" spans="1:50" x14ac:dyDescent="0.25">
      <c r="A252" s="163" t="s">
        <v>255</v>
      </c>
      <c r="B252" s="164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</row>
    <row r="253" spans="1:50" x14ac:dyDescent="0.25">
      <c r="A253" s="163" t="s">
        <v>256</v>
      </c>
      <c r="B253" s="171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</row>
    <row r="254" spans="1:50" x14ac:dyDescent="0.25">
      <c r="A254" s="163" t="s">
        <v>257</v>
      </c>
      <c r="B254" s="164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</row>
    <row r="255" spans="1:50" x14ac:dyDescent="0.25"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</row>
    <row r="256" spans="1:50" x14ac:dyDescent="0.25"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</row>
    <row r="257" spans="1:34" x14ac:dyDescent="0.25"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</row>
    <row r="258" spans="1:34" x14ac:dyDescent="0.25"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</row>
    <row r="259" spans="1:34" x14ac:dyDescent="0.25"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</row>
    <row r="260" spans="1:34" x14ac:dyDescent="0.25"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</row>
    <row r="261" spans="1:34" x14ac:dyDescent="0.25"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</row>
    <row r="262" spans="1:34" x14ac:dyDescent="0.25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</row>
    <row r="263" spans="1:34" x14ac:dyDescent="0.25"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</row>
    <row r="264" spans="1:34" x14ac:dyDescent="0.25"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</row>
    <row r="265" spans="1:34" x14ac:dyDescent="0.25"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</row>
    <row r="266" spans="1:34" x14ac:dyDescent="0.25"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</row>
    <row r="267" spans="1:34" x14ac:dyDescent="0.25"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</row>
    <row r="268" spans="1:34" x14ac:dyDescent="0.25"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</row>
    <row r="269" spans="1:34" x14ac:dyDescent="0.25"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</row>
    <row r="270" spans="1:34" x14ac:dyDescent="0.25">
      <c r="A270" s="172" t="s">
        <v>242</v>
      </c>
      <c r="B270" s="173">
        <f t="shared" ref="B270:AE270" si="23">C234</f>
        <v>0.64</v>
      </c>
      <c r="C270" s="173">
        <f t="shared" si="23"/>
        <v>0.64</v>
      </c>
      <c r="D270" s="173">
        <f t="shared" si="23"/>
        <v>0.64</v>
      </c>
      <c r="E270" s="173">
        <f t="shared" si="23"/>
        <v>0.64</v>
      </c>
      <c r="F270" s="173">
        <f t="shared" si="23"/>
        <v>0.64</v>
      </c>
      <c r="G270" s="173">
        <f t="shared" si="23"/>
        <v>0.64</v>
      </c>
      <c r="H270" s="173">
        <f t="shared" si="23"/>
        <v>0.64</v>
      </c>
      <c r="I270" s="173">
        <f t="shared" si="23"/>
        <v>0.64</v>
      </c>
      <c r="J270" s="173">
        <f t="shared" si="23"/>
        <v>0.64</v>
      </c>
      <c r="K270" s="173">
        <f t="shared" si="23"/>
        <v>0.64</v>
      </c>
      <c r="L270" s="173">
        <f t="shared" si="23"/>
        <v>0.64</v>
      </c>
      <c r="M270" s="173">
        <f t="shared" si="23"/>
        <v>0.64</v>
      </c>
      <c r="N270" s="173">
        <f t="shared" si="23"/>
        <v>0.64</v>
      </c>
      <c r="O270" s="173">
        <f t="shared" si="23"/>
        <v>0.64</v>
      </c>
      <c r="P270" s="173">
        <f t="shared" si="23"/>
        <v>0</v>
      </c>
      <c r="Q270" s="173">
        <f t="shared" si="23"/>
        <v>0</v>
      </c>
      <c r="R270" s="173">
        <f t="shared" si="23"/>
        <v>0</v>
      </c>
      <c r="S270" s="173">
        <f t="shared" si="23"/>
        <v>0</v>
      </c>
      <c r="T270" s="173">
        <f t="shared" si="23"/>
        <v>0</v>
      </c>
      <c r="U270" s="173">
        <f t="shared" si="23"/>
        <v>0</v>
      </c>
      <c r="V270" s="173">
        <f t="shared" si="23"/>
        <v>0</v>
      </c>
      <c r="W270" s="173">
        <f t="shared" si="23"/>
        <v>0</v>
      </c>
      <c r="X270" s="173">
        <f t="shared" si="23"/>
        <v>0</v>
      </c>
      <c r="Y270" s="173">
        <f t="shared" si="23"/>
        <v>0</v>
      </c>
      <c r="Z270" s="173">
        <f t="shared" si="23"/>
        <v>0</v>
      </c>
      <c r="AA270" s="173">
        <f t="shared" si="23"/>
        <v>0</v>
      </c>
      <c r="AB270" s="173">
        <f t="shared" si="23"/>
        <v>0</v>
      </c>
      <c r="AC270" s="173">
        <f t="shared" si="23"/>
        <v>0</v>
      </c>
      <c r="AD270" s="173">
        <f t="shared" si="23"/>
        <v>0</v>
      </c>
      <c r="AE270" s="173">
        <f t="shared" si="23"/>
        <v>0</v>
      </c>
      <c r="AF270" s="173">
        <f>B234</f>
        <v>0</v>
      </c>
      <c r="AG270" s="43"/>
      <c r="AH270" s="43"/>
    </row>
    <row r="271" spans="1:34" x14ac:dyDescent="0.25">
      <c r="A271" s="174" t="str">
        <f>A238</f>
        <v>KGA</v>
      </c>
      <c r="B271" s="174" t="str">
        <f t="shared" ref="B271:AF271" si="24">IF(B238&lt;100,"",B238-520)</f>
        <v/>
      </c>
      <c r="C271" s="174" t="str">
        <f t="shared" si="24"/>
        <v/>
      </c>
      <c r="D271" s="174" t="str">
        <f t="shared" si="24"/>
        <v/>
      </c>
      <c r="E271" s="174" t="str">
        <f t="shared" si="24"/>
        <v/>
      </c>
      <c r="F271" s="174" t="str">
        <f t="shared" si="24"/>
        <v/>
      </c>
      <c r="G271" s="174" t="str">
        <f t="shared" si="24"/>
        <v/>
      </c>
      <c r="H271" s="174" t="str">
        <f t="shared" si="24"/>
        <v/>
      </c>
      <c r="I271" s="174" t="str">
        <f t="shared" si="24"/>
        <v/>
      </c>
      <c r="J271" s="174" t="str">
        <f t="shared" si="24"/>
        <v/>
      </c>
      <c r="K271" s="174" t="str">
        <f t="shared" si="24"/>
        <v/>
      </c>
      <c r="L271" s="174" t="str">
        <f t="shared" si="24"/>
        <v/>
      </c>
      <c r="M271" s="174" t="str">
        <f t="shared" si="24"/>
        <v/>
      </c>
      <c r="N271" s="174" t="str">
        <f t="shared" si="24"/>
        <v/>
      </c>
      <c r="O271" s="174" t="str">
        <f t="shared" si="24"/>
        <v/>
      </c>
      <c r="P271" s="174" t="str">
        <f t="shared" si="24"/>
        <v/>
      </c>
      <c r="Q271" s="174" t="str">
        <f t="shared" si="24"/>
        <v/>
      </c>
      <c r="R271" s="174" t="str">
        <f t="shared" si="24"/>
        <v/>
      </c>
      <c r="S271" s="174" t="str">
        <f t="shared" si="24"/>
        <v/>
      </c>
      <c r="T271" s="174" t="str">
        <f t="shared" si="24"/>
        <v/>
      </c>
      <c r="U271" s="174" t="str">
        <f t="shared" si="24"/>
        <v/>
      </c>
      <c r="V271" s="174" t="str">
        <f t="shared" si="24"/>
        <v/>
      </c>
      <c r="W271" s="174" t="str">
        <f t="shared" si="24"/>
        <v/>
      </c>
      <c r="X271" s="174" t="str">
        <f t="shared" si="24"/>
        <v/>
      </c>
      <c r="Y271" s="174" t="str">
        <f t="shared" si="24"/>
        <v/>
      </c>
      <c r="Z271" s="174" t="str">
        <f t="shared" si="24"/>
        <v/>
      </c>
      <c r="AA271" s="174" t="str">
        <f t="shared" si="24"/>
        <v/>
      </c>
      <c r="AB271" s="174" t="str">
        <f t="shared" si="24"/>
        <v/>
      </c>
      <c r="AC271" s="174" t="str">
        <f t="shared" si="24"/>
        <v/>
      </c>
      <c r="AD271" s="174" t="str">
        <f t="shared" si="24"/>
        <v/>
      </c>
      <c r="AE271" s="174" t="str">
        <f t="shared" si="24"/>
        <v/>
      </c>
      <c r="AF271" s="174" t="str">
        <f t="shared" si="24"/>
        <v/>
      </c>
      <c r="AG271" s="43"/>
      <c r="AH271" s="43"/>
    </row>
    <row r="272" spans="1:34" x14ac:dyDescent="0.25">
      <c r="A272" s="174" t="str">
        <f>A239</f>
        <v>MMRS</v>
      </c>
      <c r="B272" s="174" t="str">
        <f t="shared" ref="B272:AF272" si="25">IF(B239&lt;100,"",B239-620)</f>
        <v/>
      </c>
      <c r="C272" s="174" t="str">
        <f t="shared" si="25"/>
        <v/>
      </c>
      <c r="D272" s="174" t="str">
        <f t="shared" si="25"/>
        <v/>
      </c>
      <c r="E272" s="174" t="str">
        <f t="shared" si="25"/>
        <v/>
      </c>
      <c r="F272" s="174" t="str">
        <f t="shared" si="25"/>
        <v/>
      </c>
      <c r="G272" s="174" t="str">
        <f t="shared" si="25"/>
        <v/>
      </c>
      <c r="H272" s="174" t="str">
        <f t="shared" si="25"/>
        <v/>
      </c>
      <c r="I272" s="174" t="str">
        <f t="shared" si="25"/>
        <v/>
      </c>
      <c r="J272" s="174" t="str">
        <f t="shared" si="25"/>
        <v/>
      </c>
      <c r="K272" s="174" t="str">
        <f t="shared" si="25"/>
        <v/>
      </c>
      <c r="L272" s="174" t="str">
        <f t="shared" si="25"/>
        <v/>
      </c>
      <c r="M272" s="174" t="str">
        <f t="shared" si="25"/>
        <v/>
      </c>
      <c r="N272" s="174" t="str">
        <f t="shared" si="25"/>
        <v/>
      </c>
      <c r="O272" s="174" t="str">
        <f t="shared" si="25"/>
        <v/>
      </c>
      <c r="P272" s="174" t="str">
        <f t="shared" si="25"/>
        <v/>
      </c>
      <c r="Q272" s="174" t="str">
        <f t="shared" si="25"/>
        <v/>
      </c>
      <c r="R272" s="174" t="str">
        <f t="shared" si="25"/>
        <v/>
      </c>
      <c r="S272" s="174" t="str">
        <f t="shared" si="25"/>
        <v/>
      </c>
      <c r="T272" s="174" t="str">
        <f t="shared" si="25"/>
        <v/>
      </c>
      <c r="U272" s="174" t="str">
        <f t="shared" si="25"/>
        <v/>
      </c>
      <c r="V272" s="174" t="str">
        <f t="shared" si="25"/>
        <v/>
      </c>
      <c r="W272" s="174" t="str">
        <f t="shared" si="25"/>
        <v/>
      </c>
      <c r="X272" s="174" t="str">
        <f t="shared" si="25"/>
        <v/>
      </c>
      <c r="Y272" s="174" t="str">
        <f t="shared" si="25"/>
        <v/>
      </c>
      <c r="Z272" s="174" t="str">
        <f t="shared" si="25"/>
        <v/>
      </c>
      <c r="AA272" s="174" t="str">
        <f t="shared" si="25"/>
        <v/>
      </c>
      <c r="AB272" s="174" t="str">
        <f t="shared" si="25"/>
        <v/>
      </c>
      <c r="AC272" s="174" t="str">
        <f t="shared" si="25"/>
        <v/>
      </c>
      <c r="AD272" s="174" t="str">
        <f t="shared" si="25"/>
        <v/>
      </c>
      <c r="AE272" s="174" t="str">
        <f t="shared" si="25"/>
        <v/>
      </c>
      <c r="AF272" s="174" t="str">
        <f t="shared" si="25"/>
        <v/>
      </c>
      <c r="AG272" s="43"/>
      <c r="AH272" s="43"/>
    </row>
    <row r="273" spans="1:34" x14ac:dyDescent="0.25">
      <c r="A273" s="174" t="str">
        <f>A240</f>
        <v>MRS</v>
      </c>
      <c r="B273" s="174" t="str">
        <f t="shared" ref="B273:AF273" si="26">IF(B240&lt;100,"",B240-330)</f>
        <v/>
      </c>
      <c r="C273" s="174" t="str">
        <f t="shared" si="26"/>
        <v/>
      </c>
      <c r="D273" s="174" t="str">
        <f t="shared" si="26"/>
        <v/>
      </c>
      <c r="E273" s="174" t="str">
        <f t="shared" si="26"/>
        <v/>
      </c>
      <c r="F273" s="174" t="str">
        <f t="shared" si="26"/>
        <v/>
      </c>
      <c r="G273" s="174" t="str">
        <f t="shared" si="26"/>
        <v/>
      </c>
      <c r="H273" s="174" t="str">
        <f t="shared" si="26"/>
        <v/>
      </c>
      <c r="I273" s="174" t="str">
        <f t="shared" si="26"/>
        <v/>
      </c>
      <c r="J273" s="174" t="str">
        <f t="shared" si="26"/>
        <v/>
      </c>
      <c r="K273" s="174" t="str">
        <f t="shared" si="26"/>
        <v/>
      </c>
      <c r="L273" s="174" t="str">
        <f t="shared" si="26"/>
        <v/>
      </c>
      <c r="M273" s="174" t="str">
        <f t="shared" si="26"/>
        <v/>
      </c>
      <c r="N273" s="174" t="str">
        <f t="shared" si="26"/>
        <v/>
      </c>
      <c r="O273" s="174" t="str">
        <f t="shared" si="26"/>
        <v/>
      </c>
      <c r="P273" s="174" t="str">
        <f t="shared" si="26"/>
        <v/>
      </c>
      <c r="Q273" s="174" t="str">
        <f t="shared" si="26"/>
        <v/>
      </c>
      <c r="R273" s="174" t="str">
        <f t="shared" si="26"/>
        <v/>
      </c>
      <c r="S273" s="174" t="str">
        <f t="shared" si="26"/>
        <v/>
      </c>
      <c r="T273" s="174" t="str">
        <f t="shared" si="26"/>
        <v/>
      </c>
      <c r="U273" s="174" t="str">
        <f t="shared" si="26"/>
        <v/>
      </c>
      <c r="V273" s="174" t="str">
        <f t="shared" si="26"/>
        <v/>
      </c>
      <c r="W273" s="174" t="str">
        <f t="shared" si="26"/>
        <v/>
      </c>
      <c r="X273" s="174" t="str">
        <f t="shared" si="26"/>
        <v/>
      </c>
      <c r="Y273" s="174" t="str">
        <f t="shared" si="26"/>
        <v/>
      </c>
      <c r="Z273" s="174" t="str">
        <f t="shared" si="26"/>
        <v/>
      </c>
      <c r="AA273" s="174" t="str">
        <f t="shared" si="26"/>
        <v/>
      </c>
      <c r="AB273" s="174" t="str">
        <f t="shared" si="26"/>
        <v/>
      </c>
      <c r="AC273" s="174" t="str">
        <f t="shared" si="26"/>
        <v/>
      </c>
      <c r="AD273" s="174" t="str">
        <f t="shared" si="26"/>
        <v/>
      </c>
      <c r="AE273" s="174" t="str">
        <f t="shared" si="26"/>
        <v/>
      </c>
      <c r="AF273" s="174" t="str">
        <f t="shared" si="26"/>
        <v/>
      </c>
      <c r="AG273" s="43"/>
      <c r="AH273" s="43"/>
    </row>
    <row r="274" spans="1:34" x14ac:dyDescent="0.25">
      <c r="A274" s="174" t="str">
        <f>A241</f>
        <v>KL 1</v>
      </c>
      <c r="B274" s="174" t="str">
        <f t="shared" ref="B274:AF274" si="27">IF(B241&lt;100,"",B241-1500)</f>
        <v/>
      </c>
      <c r="C274" s="174" t="str">
        <f t="shared" si="27"/>
        <v/>
      </c>
      <c r="D274" s="174" t="str">
        <f t="shared" si="27"/>
        <v/>
      </c>
      <c r="E274" s="174" t="str">
        <f t="shared" si="27"/>
        <v/>
      </c>
      <c r="F274" s="174" t="str">
        <f t="shared" si="27"/>
        <v/>
      </c>
      <c r="G274" s="174" t="str">
        <f t="shared" si="27"/>
        <v/>
      </c>
      <c r="H274" s="174" t="str">
        <f t="shared" si="27"/>
        <v/>
      </c>
      <c r="I274" s="174" t="str">
        <f t="shared" si="27"/>
        <v/>
      </c>
      <c r="J274" s="174" t="str">
        <f t="shared" si="27"/>
        <v/>
      </c>
      <c r="K274" s="174" t="str">
        <f t="shared" si="27"/>
        <v/>
      </c>
      <c r="L274" s="174" t="str">
        <f t="shared" si="27"/>
        <v/>
      </c>
      <c r="M274" s="174" t="str">
        <f t="shared" si="27"/>
        <v/>
      </c>
      <c r="N274" s="174" t="str">
        <f t="shared" si="27"/>
        <v/>
      </c>
      <c r="O274" s="174" t="str">
        <f t="shared" si="27"/>
        <v/>
      </c>
      <c r="P274" s="174" t="str">
        <f t="shared" si="27"/>
        <v/>
      </c>
      <c r="Q274" s="174" t="str">
        <f t="shared" si="27"/>
        <v/>
      </c>
      <c r="R274" s="174" t="str">
        <f t="shared" si="27"/>
        <v/>
      </c>
      <c r="S274" s="174" t="str">
        <f t="shared" si="27"/>
        <v/>
      </c>
      <c r="T274" s="174" t="str">
        <f t="shared" si="27"/>
        <v/>
      </c>
      <c r="U274" s="174" t="str">
        <f t="shared" si="27"/>
        <v/>
      </c>
      <c r="V274" s="174" t="str">
        <f t="shared" si="27"/>
        <v/>
      </c>
      <c r="W274" s="174" t="str">
        <f t="shared" si="27"/>
        <v/>
      </c>
      <c r="X274" s="174" t="str">
        <f t="shared" si="27"/>
        <v/>
      </c>
      <c r="Y274" s="174" t="str">
        <f t="shared" si="27"/>
        <v/>
      </c>
      <c r="Z274" s="174" t="str">
        <f t="shared" si="27"/>
        <v/>
      </c>
      <c r="AA274" s="174" t="str">
        <f t="shared" si="27"/>
        <v/>
      </c>
      <c r="AB274" s="174" t="str">
        <f t="shared" si="27"/>
        <v/>
      </c>
      <c r="AC274" s="174" t="str">
        <f t="shared" si="27"/>
        <v/>
      </c>
      <c r="AD274" s="174" t="str">
        <f t="shared" si="27"/>
        <v/>
      </c>
      <c r="AE274" s="174" t="str">
        <f t="shared" si="27"/>
        <v/>
      </c>
      <c r="AF274" s="174" t="str">
        <f t="shared" si="27"/>
        <v/>
      </c>
      <c r="AG274" s="43"/>
      <c r="AH274" s="43"/>
    </row>
    <row r="275" spans="1:34" x14ac:dyDescent="0.25"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</row>
    <row r="276" spans="1:34" x14ac:dyDescent="0.25"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</row>
    <row r="277" spans="1:34" x14ac:dyDescent="0.25"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</row>
    <row r="278" spans="1:34" x14ac:dyDescent="0.25"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</row>
    <row r="279" spans="1:34" x14ac:dyDescent="0.25"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</row>
    <row r="280" spans="1:34" x14ac:dyDescent="0.25"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</row>
    <row r="281" spans="1:34" x14ac:dyDescent="0.25"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</row>
  </sheetData>
  <mergeCells count="49">
    <mergeCell ref="A1:AF1"/>
    <mergeCell ref="AG1:AI1"/>
    <mergeCell ref="B2:B3"/>
    <mergeCell ref="D2:D3"/>
    <mergeCell ref="F2:F3"/>
    <mergeCell ref="H2:H3"/>
    <mergeCell ref="J2:J3"/>
    <mergeCell ref="B4:D4"/>
    <mergeCell ref="E4:G4"/>
    <mergeCell ref="H4:I4"/>
    <mergeCell ref="B8:L8"/>
    <mergeCell ref="M8:R8"/>
    <mergeCell ref="AB8:AF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S8:AA8"/>
    <mergeCell ref="R9:R10"/>
    <mergeCell ref="S9:S10"/>
    <mergeCell ref="T9:T10"/>
    <mergeCell ref="U9:U10"/>
    <mergeCell ref="J9:J10"/>
    <mergeCell ref="K9:K10"/>
    <mergeCell ref="L9:L10"/>
    <mergeCell ref="M9:M10"/>
    <mergeCell ref="N9:N10"/>
    <mergeCell ref="O9:O10"/>
    <mergeCell ref="AN84:AN85"/>
    <mergeCell ref="A246:B246"/>
    <mergeCell ref="AB9:AB10"/>
    <mergeCell ref="AC9:AC10"/>
    <mergeCell ref="AD9:AD10"/>
    <mergeCell ref="AE9:AE10"/>
    <mergeCell ref="AF9:AF10"/>
    <mergeCell ref="AG9:AG10"/>
    <mergeCell ref="V9:V10"/>
    <mergeCell ref="W9:W10"/>
    <mergeCell ref="X9:X10"/>
    <mergeCell ref="Y9:Y10"/>
    <mergeCell ref="Z9:Z10"/>
    <mergeCell ref="AA9:AA10"/>
    <mergeCell ref="P9:P10"/>
    <mergeCell ref="Q9:Q10"/>
  </mergeCells>
  <conditionalFormatting sqref="A11:A236">
    <cfRule type="expression" dxfId="121" priority="156">
      <formula>$AH11=0</formula>
    </cfRule>
  </conditionalFormatting>
  <conditionalFormatting sqref="B8 M8 S8 AB8">
    <cfRule type="expression" dxfId="120" priority="408">
      <formula>AND(C$9&gt;=14/24,C$9&lt;20/24)</formula>
    </cfRule>
    <cfRule type="expression" dxfId="119" priority="409">
      <formula>AND(C$9&gt;=8/24,C$9&lt;14/24)</formula>
    </cfRule>
    <cfRule type="expression" dxfId="118" priority="410">
      <formula>C$9&lt;8/24</formula>
    </cfRule>
  </conditionalFormatting>
  <conditionalFormatting sqref="B54:C54">
    <cfRule type="expression" dxfId="117" priority="73">
      <formula>B$9&gt;=20/24</formula>
    </cfRule>
    <cfRule type="expression" dxfId="116" priority="74">
      <formula>AND(B$9&gt;=14/24,B$9&lt;20/24)</formula>
    </cfRule>
    <cfRule type="expression" dxfId="115" priority="75">
      <formula>AND(B$9&gt;=8/24,B$9&lt;14/24)</formula>
    </cfRule>
    <cfRule type="expression" dxfId="114" priority="76">
      <formula>B$9&lt;8/24</formula>
    </cfRule>
  </conditionalFormatting>
  <conditionalFormatting sqref="B54:C66">
    <cfRule type="expression" dxfId="113" priority="67">
      <formula>B54&gt;$AG54</formula>
    </cfRule>
  </conditionalFormatting>
  <conditionalFormatting sqref="B55:D59">
    <cfRule type="expression" dxfId="112" priority="127">
      <formula>B$9&gt;=20/24</formula>
    </cfRule>
    <cfRule type="expression" dxfId="111" priority="128">
      <formula>AND(B$9&gt;=14/24,B$9&lt;20/24)</formula>
    </cfRule>
    <cfRule type="expression" dxfId="110" priority="129">
      <formula>AND(B$9&gt;=8/24,B$9&lt;14/24)</formula>
    </cfRule>
    <cfRule type="expression" dxfId="109" priority="130">
      <formula>B$9&lt;8/24</formula>
    </cfRule>
  </conditionalFormatting>
  <conditionalFormatting sqref="B60:R60">
    <cfRule type="expression" dxfId="108" priority="113">
      <formula>B$9&gt;=20/24</formula>
    </cfRule>
    <cfRule type="expression" dxfId="107" priority="114">
      <formula>AND(B$9&gt;=14/24,B$9&lt;20/24)</formula>
    </cfRule>
    <cfRule type="expression" dxfId="106" priority="115">
      <formula>AND(B$9&gt;=8/24,B$9&lt;14/24)</formula>
    </cfRule>
    <cfRule type="expression" dxfId="105" priority="116">
      <formula>B$9&lt;8/24</formula>
    </cfRule>
  </conditionalFormatting>
  <conditionalFormatting sqref="B61:AD66">
    <cfRule type="expression" dxfId="104" priority="68">
      <formula>B$9&gt;=20/24</formula>
    </cfRule>
    <cfRule type="expression" dxfId="103" priority="69">
      <formula>AND(B$9&gt;=14/24,B$9&lt;20/24)</formula>
    </cfRule>
    <cfRule type="expression" dxfId="102" priority="70">
      <formula>AND(B$9&gt;=8/24,B$9&lt;14/24)</formula>
    </cfRule>
    <cfRule type="expression" dxfId="101" priority="71">
      <formula>B$9&lt;8/24</formula>
    </cfRule>
  </conditionalFormatting>
  <conditionalFormatting sqref="B9:AF45">
    <cfRule type="expression" dxfId="100" priority="37">
      <formula>B$9&gt;=20/24</formula>
    </cfRule>
    <cfRule type="expression" dxfId="99" priority="38">
      <formula>AND(B$9&gt;=14/24,B$9&lt;20/24)</formula>
    </cfRule>
    <cfRule type="expression" dxfId="98" priority="39">
      <formula>AND(B$9&gt;=8/24,B$9&lt;14/24)</formula>
    </cfRule>
    <cfRule type="expression" dxfId="97" priority="40">
      <formula>B$9&lt;8/24</formula>
    </cfRule>
  </conditionalFormatting>
  <conditionalFormatting sqref="B11:AF46">
    <cfRule type="expression" dxfId="96" priority="35">
      <formula>B11&gt;$AG11</formula>
    </cfRule>
  </conditionalFormatting>
  <conditionalFormatting sqref="B46:AF46">
    <cfRule type="expression" dxfId="95" priority="31">
      <formula>B$9&gt;=20/24</formula>
    </cfRule>
    <cfRule type="expression" dxfId="94" priority="32">
      <formula>AND(B$9&gt;=14/24,B$9&lt;20/24)</formula>
    </cfRule>
    <cfRule type="expression" dxfId="93" priority="33">
      <formula>AND(B$9&gt;=8/24,B$9&lt;14/24)</formula>
    </cfRule>
    <cfRule type="expression" dxfId="92" priority="34">
      <formula>B$9&lt;8/24</formula>
    </cfRule>
  </conditionalFormatting>
  <conditionalFormatting sqref="B47:AF47">
    <cfRule type="expression" dxfId="91" priority="66">
      <formula>B47&gt;$AG47</formula>
    </cfRule>
  </conditionalFormatting>
  <conditionalFormatting sqref="B47:AF49">
    <cfRule type="expression" dxfId="90" priority="53">
      <formula>B$9&gt;=20/24</formula>
    </cfRule>
    <cfRule type="expression" dxfId="89" priority="54">
      <formula>AND(B$9&gt;=14/24,B$9&lt;20/24)</formula>
    </cfRule>
    <cfRule type="expression" dxfId="88" priority="55">
      <formula>AND(B$9&gt;=8/24,B$9&lt;14/24)</formula>
    </cfRule>
    <cfRule type="expression" dxfId="87" priority="56">
      <formula>B$9&lt;8/24</formula>
    </cfRule>
  </conditionalFormatting>
  <conditionalFormatting sqref="B48:AF53">
    <cfRule type="expression" dxfId="86" priority="51">
      <formula>B48&gt;$AG48</formula>
    </cfRule>
  </conditionalFormatting>
  <conditionalFormatting sqref="B51:AF53">
    <cfRule type="expression" dxfId="85" priority="104">
      <formula>B$9&gt;=20/24</formula>
    </cfRule>
    <cfRule type="expression" dxfId="84" priority="105">
      <formula>AND(B$9&gt;=14/24,B$9&lt;20/24)</formula>
    </cfRule>
    <cfRule type="expression" dxfId="83" priority="106">
      <formula>AND(B$9&gt;=8/24,B$9&lt;14/24)</formula>
    </cfRule>
    <cfRule type="expression" dxfId="82" priority="107">
      <formula>B$9&lt;8/24</formula>
    </cfRule>
  </conditionalFormatting>
  <conditionalFormatting sqref="B69:AF71">
    <cfRule type="expression" dxfId="81" priority="121">
      <formula>B69&gt;$AG69</formula>
    </cfRule>
    <cfRule type="expression" dxfId="80" priority="122">
      <formula>B$9&gt;=20/24</formula>
    </cfRule>
    <cfRule type="expression" dxfId="79" priority="123">
      <formula>AND(B$9&gt;=14/24,B$9&lt;20/24)</formula>
    </cfRule>
    <cfRule type="expression" dxfId="78" priority="124">
      <formula>AND(B$9&gt;=8/24,B$9&lt;14/24)</formula>
    </cfRule>
    <cfRule type="expression" dxfId="77" priority="125">
      <formula>B$9&lt;8/24</formula>
    </cfRule>
  </conditionalFormatting>
  <conditionalFormatting sqref="B73:AF91">
    <cfRule type="expression" dxfId="76" priority="1">
      <formula>B$9&gt;=20/24</formula>
    </cfRule>
    <cfRule type="expression" dxfId="75" priority="2">
      <formula>AND(B$9&gt;=14/24,B$9&lt;20/24)</formula>
    </cfRule>
    <cfRule type="expression" dxfId="74" priority="3">
      <formula>AND(B$9&gt;=8/24,B$9&lt;14/24)</formula>
    </cfRule>
    <cfRule type="expression" dxfId="73" priority="4">
      <formula>B$9&lt;8/24</formula>
    </cfRule>
  </conditionalFormatting>
  <conditionalFormatting sqref="B111:AF120">
    <cfRule type="expression" dxfId="72" priority="27">
      <formula>B$9&gt;=20/24</formula>
    </cfRule>
    <cfRule type="expression" dxfId="71" priority="28">
      <formula>AND(B$9&gt;=14/24,B$9&lt;20/24)</formula>
    </cfRule>
    <cfRule type="expression" dxfId="70" priority="29">
      <formula>AND(B$9&gt;=8/24,B$9&lt;14/24)</formula>
    </cfRule>
    <cfRule type="expression" dxfId="69" priority="30">
      <formula>B$9&lt;8/24</formula>
    </cfRule>
  </conditionalFormatting>
  <conditionalFormatting sqref="B227:AF227 D229:AF230 B229:B235 D231:H231 J231:AF231 D232:AF235 U248:AF248">
    <cfRule type="expression" dxfId="68" priority="401">
      <formula>B$9&gt;=20/24</formula>
    </cfRule>
    <cfRule type="expression" dxfId="67" priority="402">
      <formula>AND(B$9&gt;=14/24,B$9&lt;20/24)</formula>
    </cfRule>
    <cfRule type="expression" dxfId="66" priority="403">
      <formula>AND(B$9&gt;=8/24,B$9&lt;14/24)</formula>
    </cfRule>
    <cfRule type="expression" dxfId="65" priority="404">
      <formula>B$9&lt;8/24</formula>
    </cfRule>
  </conditionalFormatting>
  <conditionalFormatting sqref="B67:AG68 B72:AG72">
    <cfRule type="expression" dxfId="64" priority="81">
      <formula>B67&gt;$AG67</formula>
    </cfRule>
  </conditionalFormatting>
  <conditionalFormatting sqref="B72:AG72 B93:AF109">
    <cfRule type="expression" dxfId="63" priority="82">
      <formula>B$9&gt;=20/24</formula>
    </cfRule>
    <cfRule type="expression" dxfId="62" priority="83">
      <formula>AND(B$9&gt;=14/24,B$9&lt;20/24)</formula>
    </cfRule>
    <cfRule type="expression" dxfId="61" priority="84">
      <formula>AND(B$9&gt;=8/24,B$9&lt;14/24)</formula>
    </cfRule>
    <cfRule type="expression" dxfId="60" priority="85">
      <formula>B$9&lt;8/24</formula>
    </cfRule>
  </conditionalFormatting>
  <conditionalFormatting sqref="D55:AF66">
    <cfRule type="expression" dxfId="59" priority="17">
      <formula>D55&gt;$AG55</formula>
    </cfRule>
  </conditionalFormatting>
  <conditionalFormatting sqref="D54:AG54">
    <cfRule type="expression" dxfId="58" priority="252">
      <formula>D54&gt;$AG54</formula>
    </cfRule>
    <cfRule type="expression" dxfId="57" priority="253">
      <formula>D$9&gt;=20/24</formula>
    </cfRule>
    <cfRule type="expression" dxfId="56" priority="254">
      <formula>AND(D$9&gt;=14/24,D$9&lt;20/24)</formula>
    </cfRule>
    <cfRule type="expression" dxfId="55" priority="255">
      <formula>AND(D$9&gt;=8/24,D$9&lt;14/24)</formula>
    </cfRule>
    <cfRule type="expression" dxfId="54" priority="256">
      <formula>D$9&lt;8/24</formula>
    </cfRule>
  </conditionalFormatting>
  <conditionalFormatting sqref="E55:L57">
    <cfRule type="expression" dxfId="53" priority="339">
      <formula>E$9&gt;=20/24</formula>
    </cfRule>
    <cfRule type="expression" dxfId="52" priority="340">
      <formula>AND(E$9&gt;=14/24,E$9&lt;20/24)</formula>
    </cfRule>
    <cfRule type="expression" dxfId="51" priority="341">
      <formula>AND(E$9&gt;=8/24,E$9&lt;14/24)</formula>
    </cfRule>
    <cfRule type="expression" dxfId="50" priority="342">
      <formula>E$9&lt;8/24</formula>
    </cfRule>
  </conditionalFormatting>
  <conditionalFormatting sqref="M55:R59">
    <cfRule type="expression" dxfId="49" priority="367">
      <formula>M$9&gt;=20/24</formula>
    </cfRule>
    <cfRule type="expression" dxfId="48" priority="368">
      <formula>AND(M$9&gt;=14/24,M$9&lt;20/24)</formula>
    </cfRule>
    <cfRule type="expression" dxfId="47" priority="369">
      <formula>AND(M$9&gt;=8/24,M$9&lt;14/24)</formula>
    </cfRule>
    <cfRule type="expression" dxfId="46" priority="370">
      <formula>M$9&lt;8/24</formula>
    </cfRule>
  </conditionalFormatting>
  <conditionalFormatting sqref="O3:P3">
    <cfRule type="iconSet" priority="405">
      <iconSet iconSet="3TrafficLights2" reverse="1">
        <cfvo type="percent" val="0"/>
        <cfvo type="num" val="1"/>
        <cfvo type="num" val="1"/>
      </iconSet>
    </cfRule>
  </conditionalFormatting>
  <conditionalFormatting sqref="S8 AB8 B8 M8">
    <cfRule type="expression" dxfId="45" priority="407">
      <formula>C$9&gt;=20/24</formula>
    </cfRule>
  </conditionalFormatting>
  <conditionalFormatting sqref="S8">
    <cfRule type="expression" dxfId="44" priority="380">
      <formula>U$9&gt;=20/24</formula>
    </cfRule>
    <cfRule type="expression" dxfId="43" priority="381">
      <formula>AND(U$9&gt;=14/24,U$9&lt;20/24)</formula>
    </cfRule>
    <cfRule type="expression" dxfId="42" priority="382">
      <formula>AND(U$9&gt;=8/24,U$9&lt;14/24)</formula>
    </cfRule>
    <cfRule type="expression" dxfId="41" priority="383">
      <formula>U$9&lt;8/24</formula>
    </cfRule>
  </conditionalFormatting>
  <conditionalFormatting sqref="S55:AF60">
    <cfRule type="expression" dxfId="40" priority="23">
      <formula>S$9&gt;=20/24</formula>
    </cfRule>
    <cfRule type="expression" dxfId="39" priority="24">
      <formula>AND(S$9&gt;=14/24,S$9&lt;20/24)</formula>
    </cfRule>
    <cfRule type="expression" dxfId="38" priority="25">
      <formula>AND(S$9&gt;=8/24,S$9&lt;14/24)</formula>
    </cfRule>
    <cfRule type="expression" dxfId="37" priority="26">
      <formula>S$9&lt;8/24</formula>
    </cfRule>
  </conditionalFormatting>
  <conditionalFormatting sqref="T248">
    <cfRule type="expression" dxfId="36" priority="420">
      <formula>AX$9&gt;=20/24</formula>
    </cfRule>
    <cfRule type="expression" dxfId="35" priority="421">
      <formula>AND(AX$9&gt;=14/24,AX$9&lt;20/24)</formula>
    </cfRule>
    <cfRule type="expression" dxfId="34" priority="422">
      <formula>AND(AX$9&gt;=8/24,AX$9&lt;14/24)</formula>
    </cfRule>
    <cfRule type="expression" dxfId="33" priority="423">
      <formula>AX$9&lt;8/24</formula>
    </cfRule>
  </conditionalFormatting>
  <conditionalFormatting sqref="V3 AB3">
    <cfRule type="iconSet" priority="406">
      <iconSet iconSet="3TrafficLights2" reverse="1">
        <cfvo type="percent" val="0"/>
        <cfvo type="num" val="1"/>
        <cfvo type="num" val="1"/>
      </iconSet>
    </cfRule>
  </conditionalFormatting>
  <conditionalFormatting sqref="AB8">
    <cfRule type="expression" dxfId="32" priority="376">
      <formula>AD$9&gt;=20/24</formula>
    </cfRule>
    <cfRule type="expression" dxfId="31" priority="377">
      <formula>AND(AD$9&gt;=14/24,AD$9&lt;20/24)</formula>
    </cfRule>
    <cfRule type="expression" dxfId="30" priority="378">
      <formula>AND(AD$9&gt;=8/24,AD$9&lt;14/24)</formula>
    </cfRule>
    <cfRule type="expression" dxfId="29" priority="379">
      <formula>AD$9&lt;8/24</formula>
    </cfRule>
  </conditionalFormatting>
  <conditionalFormatting sqref="AE61:AF66">
    <cfRule type="expression" dxfId="28" priority="18">
      <formula>AE$9&gt;=20/24</formula>
    </cfRule>
    <cfRule type="expression" dxfId="27" priority="19">
      <formula>AND(AE$9&gt;=14/24,AE$9&lt;20/24)</formula>
    </cfRule>
    <cfRule type="expression" dxfId="26" priority="20">
      <formula>AND(AE$9&gt;=8/24,AE$9&lt;14/24)</formula>
    </cfRule>
    <cfRule type="expression" dxfId="25" priority="21">
      <formula>AE$9&lt;8/24</formula>
    </cfRule>
  </conditionalFormatting>
  <conditionalFormatting sqref="AG50">
    <cfRule type="expression" dxfId="24" priority="333">
      <formula>AG50&gt;$AG50</formula>
    </cfRule>
  </conditionalFormatting>
  <conditionalFormatting sqref="AG89">
    <cfRule type="expression" dxfId="23" priority="334">
      <formula>AG$9&gt;=20/24</formula>
    </cfRule>
    <cfRule type="expression" dxfId="22" priority="335">
      <formula>AND(AG$9&gt;=14/24,AG$9&lt;20/24)</formula>
    </cfRule>
    <cfRule type="expression" dxfId="21" priority="336">
      <formula>AND(AG$9&gt;=8/24,AG$9&lt;14/24)</formula>
    </cfRule>
    <cfRule type="expression" dxfId="20" priority="337">
      <formula>AG$9&lt;8/24</formula>
    </cfRule>
  </conditionalFormatting>
  <conditionalFormatting sqref="AG248">
    <cfRule type="expression" dxfId="19" priority="412">
      <formula>B$9&gt;=20/24</formula>
    </cfRule>
    <cfRule type="expression" dxfId="18" priority="413">
      <formula>AND(B$9&gt;=14/24,B$9&lt;20/24)</formula>
    </cfRule>
    <cfRule type="expression" dxfId="17" priority="414">
      <formula>AND(B$9&gt;=8/24,B$9&lt;14/24)</formula>
    </cfRule>
    <cfRule type="expression" dxfId="16" priority="415">
      <formula>B$9&lt;8/24</formula>
    </cfRule>
  </conditionalFormatting>
  <conditionalFormatting sqref="AH248:AX248">
    <cfRule type="expression" dxfId="15" priority="416">
      <formula>AG$9&gt;=20/24</formula>
    </cfRule>
    <cfRule type="expression" dxfId="14" priority="417">
      <formula>AND(AG$9&gt;=14/24,AG$9&lt;20/24)</formula>
    </cfRule>
    <cfRule type="expression" dxfId="13" priority="418">
      <formula>AND(AG$9&gt;=8/24,AG$9&lt;14/24)</formula>
    </cfRule>
    <cfRule type="expression" dxfId="12" priority="419">
      <formula>AG$9&lt;8/24</formula>
    </cfRule>
  </conditionalFormatting>
  <conditionalFormatting sqref="AL4:AL6">
    <cfRule type="iconSet" priority="400">
      <iconSet iconSet="3TrafficLights2" reverse="1">
        <cfvo type="percent" val="0"/>
        <cfvo type="num" val="1"/>
        <cfvo type="num" val="1"/>
      </iconSet>
    </cfRule>
  </conditionalFormatting>
  <conditionalFormatting sqref="AL18">
    <cfRule type="iconSet" priority="171">
      <iconSet iconSet="3TrafficLights2" reverse="1">
        <cfvo type="percent" val="0"/>
        <cfvo type="num" val="1"/>
        <cfvo type="num" val="1"/>
      </iconSet>
    </cfRule>
  </conditionalFormatting>
  <conditionalFormatting sqref="AL23">
    <cfRule type="iconSet" priority="299">
      <iconSet iconSet="3TrafficLights2" reverse="1">
        <cfvo type="percent" val="0"/>
        <cfvo type="num" val="1"/>
        <cfvo type="num" val="1"/>
      </iconSet>
    </cfRule>
  </conditionalFormatting>
  <conditionalFormatting sqref="AL35">
    <cfRule type="iconSet" priority="164">
      <iconSet iconSet="3TrafficLights2" reverse="1">
        <cfvo type="percent" val="0"/>
        <cfvo type="num" val="1"/>
        <cfvo type="num" val="1"/>
      </iconSet>
    </cfRule>
  </conditionalFormatting>
  <conditionalFormatting sqref="AL39">
    <cfRule type="iconSet" priority="297">
      <iconSet iconSet="3TrafficLights2" reverse="1">
        <cfvo type="percent" val="0"/>
        <cfvo type="num" val="1"/>
        <cfvo type="num" val="1"/>
      </iconSet>
    </cfRule>
  </conditionalFormatting>
  <conditionalFormatting sqref="AL42">
    <cfRule type="iconSet" priority="308">
      <iconSet iconSet="3TrafficLights2" reverse="1">
        <cfvo type="percent" val="0"/>
        <cfvo type="num" val="1"/>
        <cfvo type="num" val="1"/>
      </iconSet>
    </cfRule>
  </conditionalFormatting>
  <conditionalFormatting sqref="AL44">
    <cfRule type="iconSet" priority="396">
      <iconSet iconSet="3TrafficLights2" reverse="1">
        <cfvo type="percent" val="0"/>
        <cfvo type="num" val="1"/>
        <cfvo type="num" val="1"/>
      </iconSet>
    </cfRule>
  </conditionalFormatting>
  <conditionalFormatting sqref="AL45">
    <cfRule type="iconSet" priority="384">
      <iconSet iconSet="3TrafficLights2" reverse="1">
        <cfvo type="percent" val="0"/>
        <cfvo type="num" val="1"/>
        <cfvo type="num" val="1"/>
      </iconSet>
    </cfRule>
  </conditionalFormatting>
  <conditionalFormatting sqref="AL46">
    <cfRule type="iconSet" priority="157">
      <iconSet iconSet="3TrafficLights2" reverse="1">
        <cfvo type="percent" val="0"/>
        <cfvo type="num" val="1"/>
        <cfvo type="num" val="1"/>
      </iconSet>
    </cfRule>
  </conditionalFormatting>
  <conditionalFormatting sqref="AL47 AL43 AL24:AL34 AL40:AL41 AL19:AL22 AL36:AL38 AL7:AL17">
    <cfRule type="iconSet" priority="424">
      <iconSet iconSet="3TrafficLights2" reverse="1">
        <cfvo type="percent" val="0"/>
        <cfvo type="num" val="1"/>
        <cfvo type="num" val="1"/>
      </iconSet>
    </cfRule>
  </conditionalFormatting>
  <conditionalFormatting sqref="AL81:AM85">
    <cfRule type="expression" dxfId="11" priority="425">
      <formula>AJ$9&gt;=20/24</formula>
    </cfRule>
    <cfRule type="expression" dxfId="10" priority="426">
      <formula>AND(AJ$9&gt;=14/24,AJ$9&lt;20/24)</formula>
    </cfRule>
    <cfRule type="expression" dxfId="9" priority="427">
      <formula>AND(AJ$9&gt;=8/24,AJ$9&lt;14/24)</formula>
    </cfRule>
    <cfRule type="expression" dxfId="8" priority="428">
      <formula>AJ$9&lt;8/24</formula>
    </cfRule>
  </conditionalFormatting>
  <conditionalFormatting sqref="AL80:AN80 AL86:AN86">
    <cfRule type="expression" dxfId="7" priority="225">
      <formula>AL$9&gt;=20/24</formula>
    </cfRule>
    <cfRule type="expression" dxfId="6" priority="226">
      <formula>AND(AL$9&gt;=14/24,AL$9&lt;20/24)</formula>
    </cfRule>
    <cfRule type="expression" dxfId="5" priority="227">
      <formula>AND(AL$9&gt;=8/24,AL$9&lt;14/24)</formula>
    </cfRule>
    <cfRule type="expression" dxfId="4" priority="228">
      <formula>AL$9&lt;8/24</formula>
    </cfRule>
  </conditionalFormatting>
  <conditionalFormatting sqref="AN81:AN84">
    <cfRule type="expression" dxfId="3" priority="221">
      <formula>AN$9&gt;=20/24</formula>
    </cfRule>
    <cfRule type="expression" dxfId="2" priority="222">
      <formula>AND(AN$9&gt;=14/24,AN$9&lt;20/24)</formula>
    </cfRule>
    <cfRule type="expression" dxfId="1" priority="223">
      <formula>AND(AN$9&gt;=8/24,AN$9&lt;14/24)</formula>
    </cfRule>
    <cfRule type="expression" dxfId="0" priority="224">
      <formula>AN$9&lt;8/24</formula>
    </cfRule>
  </conditionalFormatting>
  <pageMargins left="0.7" right="0.7" top="0.75" bottom="0.75" header="0.3" footer="0.3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7DBFF-ABB4-4C44-A71A-390FBD176816}">
  <sheetPr codeName="Sheet22"/>
  <dimension ref="A1"/>
  <sheetViews>
    <sheetView workbookViewId="0">
      <selection activeCell="M17" sqref="M17"/>
    </sheetView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3A10-10BF-4F1D-A574-E1339BBA4EC3}">
  <sheetPr codeName="Sheet23"/>
  <dimension ref="A1:T25"/>
  <sheetViews>
    <sheetView workbookViewId="0">
      <selection activeCell="Q16" sqref="Q16"/>
    </sheetView>
  </sheetViews>
  <sheetFormatPr defaultRowHeight="15" x14ac:dyDescent="0.25"/>
  <cols>
    <col min="1" max="1" width="14" customWidth="1"/>
    <col min="9" max="9" width="17.5703125" customWidth="1"/>
    <col min="15" max="15" width="17.140625" customWidth="1"/>
  </cols>
  <sheetData>
    <row r="1" spans="1:20" x14ac:dyDescent="0.25">
      <c r="C1" s="176">
        <v>0.9</v>
      </c>
      <c r="D1" s="176">
        <v>0.8</v>
      </c>
      <c r="E1" s="176">
        <v>0.7</v>
      </c>
      <c r="F1" s="176">
        <v>0.75</v>
      </c>
      <c r="G1" s="176">
        <v>0.4</v>
      </c>
    </row>
    <row r="2" spans="1:20" x14ac:dyDescent="0.25">
      <c r="A2" t="s">
        <v>286</v>
      </c>
      <c r="B2">
        <v>30</v>
      </c>
      <c r="C2">
        <f>B2*$C$1</f>
        <v>27</v>
      </c>
      <c r="D2">
        <f>B2*$D$1</f>
        <v>24</v>
      </c>
      <c r="E2">
        <f>B2*$E$1</f>
        <v>21</v>
      </c>
      <c r="F2">
        <f t="shared" ref="F2:F7" si="0">$F$1*B2</f>
        <v>22.5</v>
      </c>
      <c r="G2">
        <f>B2*$G$1</f>
        <v>12</v>
      </c>
      <c r="L2" t="s">
        <v>302</v>
      </c>
      <c r="M2">
        <v>40</v>
      </c>
      <c r="O2" t="s">
        <v>342</v>
      </c>
      <c r="P2">
        <v>60174</v>
      </c>
      <c r="Q2">
        <v>56</v>
      </c>
      <c r="S2" t="s">
        <v>344</v>
      </c>
      <c r="T2">
        <v>60086</v>
      </c>
    </row>
    <row r="3" spans="1:20" x14ac:dyDescent="0.25">
      <c r="A3" t="s">
        <v>258</v>
      </c>
      <c r="B3">
        <v>54</v>
      </c>
      <c r="C3">
        <v>13</v>
      </c>
      <c r="D3">
        <v>13</v>
      </c>
      <c r="E3">
        <v>13</v>
      </c>
      <c r="F3">
        <v>13</v>
      </c>
      <c r="G3">
        <v>13</v>
      </c>
      <c r="L3" t="s">
        <v>303</v>
      </c>
      <c r="M3">
        <v>5</v>
      </c>
      <c r="O3" t="s">
        <v>343</v>
      </c>
      <c r="P3">
        <v>60173</v>
      </c>
    </row>
    <row r="4" spans="1:20" x14ac:dyDescent="0.25">
      <c r="A4" t="s">
        <v>259</v>
      </c>
      <c r="B4">
        <v>25</v>
      </c>
      <c r="C4">
        <f t="shared" ref="C4:C7" si="1">B4*$C$1</f>
        <v>22.5</v>
      </c>
      <c r="D4">
        <f t="shared" ref="D4:D7" si="2">B4*$D$1</f>
        <v>20</v>
      </c>
      <c r="E4">
        <f t="shared" ref="E4:E7" si="3">B4*$E$1</f>
        <v>17.5</v>
      </c>
      <c r="F4">
        <f t="shared" si="0"/>
        <v>18.75</v>
      </c>
      <c r="G4">
        <f t="shared" ref="G4:G7" si="4">B4*$G$1</f>
        <v>10</v>
      </c>
      <c r="L4" t="s">
        <v>304</v>
      </c>
      <c r="M4">
        <v>14</v>
      </c>
    </row>
    <row r="5" spans="1:20" x14ac:dyDescent="0.25">
      <c r="A5" t="s">
        <v>260</v>
      </c>
      <c r="B5">
        <v>27</v>
      </c>
      <c r="C5">
        <f t="shared" si="1"/>
        <v>24.3</v>
      </c>
      <c r="D5">
        <f t="shared" si="2"/>
        <v>21.6</v>
      </c>
      <c r="E5">
        <f t="shared" si="3"/>
        <v>18.899999999999999</v>
      </c>
      <c r="F5">
        <f t="shared" si="0"/>
        <v>20.25</v>
      </c>
      <c r="G5">
        <f t="shared" si="4"/>
        <v>10.8</v>
      </c>
      <c r="L5" t="s">
        <v>305</v>
      </c>
      <c r="M5">
        <v>10</v>
      </c>
    </row>
    <row r="6" spans="1:20" x14ac:dyDescent="0.25">
      <c r="A6" t="s">
        <v>261</v>
      </c>
      <c r="B6">
        <v>12</v>
      </c>
      <c r="C6">
        <f t="shared" si="1"/>
        <v>10.8</v>
      </c>
      <c r="D6">
        <f t="shared" si="2"/>
        <v>9.6000000000000014</v>
      </c>
      <c r="E6">
        <f t="shared" si="3"/>
        <v>8.3999999999999986</v>
      </c>
      <c r="F6">
        <f t="shared" si="0"/>
        <v>9</v>
      </c>
      <c r="G6">
        <f t="shared" si="4"/>
        <v>4.8000000000000007</v>
      </c>
      <c r="L6" t="s">
        <v>306</v>
      </c>
      <c r="M6">
        <v>20</v>
      </c>
    </row>
    <row r="7" spans="1:20" x14ac:dyDescent="0.25">
      <c r="A7" t="s">
        <v>273</v>
      </c>
      <c r="B7">
        <v>8.6</v>
      </c>
      <c r="C7">
        <f t="shared" si="1"/>
        <v>7.74</v>
      </c>
      <c r="D7">
        <f t="shared" si="2"/>
        <v>6.88</v>
      </c>
      <c r="E7">
        <f t="shared" si="3"/>
        <v>6.02</v>
      </c>
      <c r="F7">
        <f t="shared" si="0"/>
        <v>6.4499999999999993</v>
      </c>
      <c r="G7">
        <f t="shared" si="4"/>
        <v>3.44</v>
      </c>
      <c r="M7">
        <f>SUM(M2:M6)</f>
        <v>89</v>
      </c>
    </row>
    <row r="8" spans="1:20" x14ac:dyDescent="0.25">
      <c r="C8">
        <f>SUM(C2:C7)</f>
        <v>105.33999999999999</v>
      </c>
      <c r="D8">
        <f t="shared" ref="D8:E8" si="5">SUM(D3:D7)</f>
        <v>71.08</v>
      </c>
      <c r="E8">
        <f t="shared" si="5"/>
        <v>63.819999999999993</v>
      </c>
      <c r="F8">
        <f>SUM(F3:F7)</f>
        <v>67.45</v>
      </c>
      <c r="G8">
        <f>SUM(G3:G7)</f>
        <v>42.039999999999992</v>
      </c>
    </row>
    <row r="11" spans="1:20" x14ac:dyDescent="0.25">
      <c r="A11" t="s">
        <v>284</v>
      </c>
      <c r="B11">
        <v>60094</v>
      </c>
      <c r="I11" t="s">
        <v>341</v>
      </c>
    </row>
    <row r="12" spans="1:20" x14ac:dyDescent="0.25">
      <c r="A12" t="s">
        <v>285</v>
      </c>
      <c r="B12">
        <v>16431</v>
      </c>
    </row>
    <row r="13" spans="1:20" x14ac:dyDescent="0.25">
      <c r="A13" t="s">
        <v>290</v>
      </c>
      <c r="B13">
        <v>60165</v>
      </c>
    </row>
    <row r="14" spans="1:20" x14ac:dyDescent="0.25">
      <c r="A14" t="s">
        <v>291</v>
      </c>
      <c r="B14">
        <v>60166</v>
      </c>
    </row>
    <row r="15" spans="1:20" x14ac:dyDescent="0.25">
      <c r="A15" t="s">
        <v>292</v>
      </c>
      <c r="B15">
        <v>60167</v>
      </c>
      <c r="O15">
        <v>23</v>
      </c>
      <c r="P15">
        <v>9.5</v>
      </c>
      <c r="Q15">
        <f>O15-P15</f>
        <v>13.5</v>
      </c>
    </row>
    <row r="16" spans="1:20" x14ac:dyDescent="0.25">
      <c r="A16" t="s">
        <v>293</v>
      </c>
      <c r="O16">
        <v>8</v>
      </c>
    </row>
    <row r="17" spans="1:19" x14ac:dyDescent="0.25">
      <c r="A17" t="s">
        <v>294</v>
      </c>
      <c r="B17">
        <v>60169</v>
      </c>
    </row>
    <row r="18" spans="1:19" x14ac:dyDescent="0.25">
      <c r="A18" t="s">
        <v>295</v>
      </c>
      <c r="B18">
        <v>60170</v>
      </c>
    </row>
    <row r="19" spans="1:19" x14ac:dyDescent="0.25">
      <c r="S19">
        <f>461-290</f>
        <v>171</v>
      </c>
    </row>
    <row r="20" spans="1:19" x14ac:dyDescent="0.25">
      <c r="S20">
        <f>S19/3.825</f>
        <v>44.705882352941174</v>
      </c>
    </row>
    <row r="21" spans="1:19" x14ac:dyDescent="0.25">
      <c r="A21" t="s">
        <v>299</v>
      </c>
      <c r="B21">
        <v>60</v>
      </c>
    </row>
    <row r="22" spans="1:19" x14ac:dyDescent="0.25">
      <c r="A22" t="s">
        <v>297</v>
      </c>
      <c r="B22">
        <v>29</v>
      </c>
    </row>
    <row r="23" spans="1:19" x14ac:dyDescent="0.25">
      <c r="A23" t="s">
        <v>298</v>
      </c>
      <c r="B23">
        <v>52.4</v>
      </c>
    </row>
    <row r="24" spans="1:19" x14ac:dyDescent="0.25">
      <c r="A24" t="s">
        <v>300</v>
      </c>
    </row>
    <row r="25" spans="1:19" x14ac:dyDescent="0.25">
      <c r="A25" t="s">
        <v>301</v>
      </c>
      <c r="M25">
        <f>1.73*132*320</f>
        <v>73075.199999999997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57F83-0CCE-4B35-BA4D-9DF359FEE3BA}">
  <sheetPr codeName="Sheet2"/>
  <dimension ref="C5:K32"/>
  <sheetViews>
    <sheetView topLeftCell="A2" workbookViewId="0">
      <selection activeCell="C5" sqref="C5:K32"/>
    </sheetView>
  </sheetViews>
  <sheetFormatPr defaultRowHeight="15" x14ac:dyDescent="0.25"/>
  <cols>
    <col min="5" max="10" width="0" hidden="1" customWidth="1"/>
  </cols>
  <sheetData>
    <row r="5" spans="3:11" x14ac:dyDescent="0.25">
      <c r="C5" t="s">
        <v>313</v>
      </c>
      <c r="G5">
        <v>-32</v>
      </c>
      <c r="I5">
        <v>-18</v>
      </c>
      <c r="K5">
        <f>G5+I5</f>
        <v>-50</v>
      </c>
    </row>
    <row r="6" spans="3:11" x14ac:dyDescent="0.25">
      <c r="C6" t="s">
        <v>314</v>
      </c>
      <c r="G6">
        <v>-32</v>
      </c>
      <c r="I6">
        <v>-18</v>
      </c>
      <c r="K6">
        <f t="shared" ref="K6:K32" si="0">G6+I6</f>
        <v>-50</v>
      </c>
    </row>
    <row r="7" spans="3:11" x14ac:dyDescent="0.25">
      <c r="C7" t="s">
        <v>315</v>
      </c>
      <c r="G7">
        <v>-32</v>
      </c>
      <c r="I7">
        <v>-18</v>
      </c>
      <c r="K7">
        <f t="shared" si="0"/>
        <v>-50</v>
      </c>
    </row>
    <row r="8" spans="3:11" x14ac:dyDescent="0.25">
      <c r="C8" t="s">
        <v>316</v>
      </c>
      <c r="G8">
        <v>-32</v>
      </c>
      <c r="I8">
        <v>-18</v>
      </c>
      <c r="K8">
        <f t="shared" si="0"/>
        <v>-50</v>
      </c>
    </row>
    <row r="9" spans="3:11" x14ac:dyDescent="0.25">
      <c r="C9" t="s">
        <v>317</v>
      </c>
      <c r="G9">
        <v>-24</v>
      </c>
      <c r="I9">
        <v>-1</v>
      </c>
      <c r="K9">
        <f t="shared" si="0"/>
        <v>-25</v>
      </c>
    </row>
    <row r="10" spans="3:11" x14ac:dyDescent="0.25">
      <c r="C10" t="s">
        <v>318</v>
      </c>
      <c r="G10">
        <v>-1</v>
      </c>
      <c r="I10">
        <v>-1</v>
      </c>
      <c r="K10">
        <f t="shared" si="0"/>
        <v>-2</v>
      </c>
    </row>
    <row r="11" spans="3:11" x14ac:dyDescent="0.25">
      <c r="C11" t="s">
        <v>319</v>
      </c>
      <c r="G11">
        <v>-1</v>
      </c>
      <c r="I11">
        <v>-1</v>
      </c>
      <c r="K11">
        <f t="shared" si="0"/>
        <v>-2</v>
      </c>
    </row>
    <row r="12" spans="3:11" x14ac:dyDescent="0.25">
      <c r="C12" t="s">
        <v>320</v>
      </c>
      <c r="G12">
        <v>-1</v>
      </c>
      <c r="I12">
        <v>-1</v>
      </c>
      <c r="K12">
        <f t="shared" si="0"/>
        <v>-2</v>
      </c>
    </row>
    <row r="13" spans="3:11" x14ac:dyDescent="0.25">
      <c r="C13" t="s">
        <v>321</v>
      </c>
      <c r="G13">
        <v>-1</v>
      </c>
      <c r="I13">
        <v>-1</v>
      </c>
      <c r="K13">
        <f t="shared" si="0"/>
        <v>-2</v>
      </c>
    </row>
    <row r="14" spans="3:11" x14ac:dyDescent="0.25">
      <c r="C14" t="s">
        <v>322</v>
      </c>
      <c r="G14">
        <v>-1</v>
      </c>
      <c r="I14">
        <v>-1</v>
      </c>
      <c r="K14">
        <f t="shared" si="0"/>
        <v>-2</v>
      </c>
    </row>
    <row r="15" spans="3:11" x14ac:dyDescent="0.25">
      <c r="C15" t="s">
        <v>323</v>
      </c>
      <c r="G15">
        <v>-1</v>
      </c>
      <c r="I15">
        <v>-1</v>
      </c>
      <c r="K15">
        <f t="shared" si="0"/>
        <v>-2</v>
      </c>
    </row>
    <row r="16" spans="3:11" x14ac:dyDescent="0.25">
      <c r="C16" t="s">
        <v>324</v>
      </c>
      <c r="G16">
        <v>-19</v>
      </c>
      <c r="I16">
        <v>-1</v>
      </c>
      <c r="K16">
        <f t="shared" si="0"/>
        <v>-20</v>
      </c>
    </row>
    <row r="17" spans="3:11" x14ac:dyDescent="0.25">
      <c r="C17" t="s">
        <v>325</v>
      </c>
      <c r="G17">
        <v>-19</v>
      </c>
      <c r="I17">
        <v>-1</v>
      </c>
      <c r="K17">
        <f t="shared" si="0"/>
        <v>-20</v>
      </c>
    </row>
    <row r="18" spans="3:11" x14ac:dyDescent="0.25">
      <c r="C18" t="s">
        <v>326</v>
      </c>
      <c r="G18">
        <v>-19</v>
      </c>
      <c r="I18">
        <v>-1</v>
      </c>
      <c r="K18">
        <f t="shared" si="0"/>
        <v>-20</v>
      </c>
    </row>
    <row r="19" spans="3:11" x14ac:dyDescent="0.25">
      <c r="C19" t="s">
        <v>327</v>
      </c>
      <c r="G19">
        <v>-19</v>
      </c>
      <c r="I19">
        <v>-1</v>
      </c>
      <c r="K19">
        <f t="shared" si="0"/>
        <v>-20</v>
      </c>
    </row>
    <row r="20" spans="3:11" x14ac:dyDescent="0.25">
      <c r="C20" t="s">
        <v>328</v>
      </c>
      <c r="G20">
        <v>-32</v>
      </c>
      <c r="I20">
        <v>-8</v>
      </c>
      <c r="K20">
        <f t="shared" si="0"/>
        <v>-40</v>
      </c>
    </row>
    <row r="21" spans="3:11" x14ac:dyDescent="0.25">
      <c r="C21" t="s">
        <v>329</v>
      </c>
      <c r="G21">
        <v>-32</v>
      </c>
      <c r="I21">
        <v>-8</v>
      </c>
      <c r="K21">
        <f t="shared" si="0"/>
        <v>-40</v>
      </c>
    </row>
    <row r="22" spans="3:11" x14ac:dyDescent="0.25">
      <c r="C22" t="s">
        <v>330</v>
      </c>
      <c r="G22">
        <v>-32</v>
      </c>
      <c r="I22">
        <v>-8</v>
      </c>
      <c r="K22">
        <f t="shared" si="0"/>
        <v>-40</v>
      </c>
    </row>
    <row r="23" spans="3:11" x14ac:dyDescent="0.25">
      <c r="C23" t="s">
        <v>331</v>
      </c>
      <c r="G23">
        <v>-32</v>
      </c>
      <c r="I23">
        <v>-8</v>
      </c>
      <c r="K23">
        <f t="shared" si="0"/>
        <v>-40</v>
      </c>
    </row>
    <row r="24" spans="3:11" x14ac:dyDescent="0.25">
      <c r="C24" t="s">
        <v>332</v>
      </c>
      <c r="G24">
        <v>-32</v>
      </c>
      <c r="I24">
        <v>-8</v>
      </c>
      <c r="K24">
        <f t="shared" si="0"/>
        <v>-40</v>
      </c>
    </row>
    <row r="25" spans="3:11" x14ac:dyDescent="0.25">
      <c r="C25" t="s">
        <v>333</v>
      </c>
      <c r="G25">
        <v>-32</v>
      </c>
      <c r="I25">
        <v>-18</v>
      </c>
      <c r="K25">
        <f t="shared" si="0"/>
        <v>-50</v>
      </c>
    </row>
    <row r="26" spans="3:11" x14ac:dyDescent="0.25">
      <c r="C26" t="s">
        <v>334</v>
      </c>
      <c r="G26">
        <v>-32</v>
      </c>
      <c r="I26">
        <v>-18</v>
      </c>
      <c r="K26">
        <f t="shared" si="0"/>
        <v>-50</v>
      </c>
    </row>
    <row r="27" spans="3:11" x14ac:dyDescent="0.25">
      <c r="C27" t="s">
        <v>335</v>
      </c>
      <c r="G27">
        <v>-32</v>
      </c>
      <c r="I27">
        <v>-28</v>
      </c>
      <c r="K27">
        <f t="shared" si="0"/>
        <v>-60</v>
      </c>
    </row>
    <row r="28" spans="3:11" x14ac:dyDescent="0.25">
      <c r="C28" t="s">
        <v>336</v>
      </c>
      <c r="G28">
        <v>-32</v>
      </c>
      <c r="I28">
        <v>-28</v>
      </c>
      <c r="K28">
        <f t="shared" si="0"/>
        <v>-60</v>
      </c>
    </row>
    <row r="29" spans="3:11" x14ac:dyDescent="0.25">
      <c r="C29" t="s">
        <v>337</v>
      </c>
      <c r="G29">
        <v>-32</v>
      </c>
      <c r="I29">
        <v>-28</v>
      </c>
      <c r="K29">
        <f t="shared" si="0"/>
        <v>-60</v>
      </c>
    </row>
    <row r="30" spans="3:11" x14ac:dyDescent="0.25">
      <c r="C30" t="s">
        <v>338</v>
      </c>
      <c r="G30">
        <v>-32</v>
      </c>
      <c r="I30">
        <v>-28</v>
      </c>
      <c r="K30">
        <f t="shared" si="0"/>
        <v>-60</v>
      </c>
    </row>
    <row r="31" spans="3:11" x14ac:dyDescent="0.25">
      <c r="C31" t="s">
        <v>339</v>
      </c>
      <c r="G31">
        <v>-32</v>
      </c>
      <c r="I31">
        <v>-28</v>
      </c>
      <c r="K31">
        <f t="shared" si="0"/>
        <v>-60</v>
      </c>
    </row>
    <row r="32" spans="3:11" x14ac:dyDescent="0.25">
      <c r="C32" t="s">
        <v>340</v>
      </c>
      <c r="G32">
        <v>-32</v>
      </c>
      <c r="I32">
        <v>-28</v>
      </c>
      <c r="K32">
        <f t="shared" si="0"/>
        <v>-60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0</vt:lpstr>
      <vt:lpstr>31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sample</vt:lpstr>
      <vt:lpstr>Sheet1</vt:lpstr>
      <vt:lpstr>phcal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Control Room LDC  System Operation Department</dc:creator>
  <cp:lastModifiedBy>Control Room LDC  System Operation Department</cp:lastModifiedBy>
  <cp:lastPrinted>2023-10-06T11:37:00Z</cp:lastPrinted>
  <dcterms:created xsi:type="dcterms:W3CDTF">2023-07-16T17:47:03Z</dcterms:created>
  <dcterms:modified xsi:type="dcterms:W3CDTF">2025-05-18T11:40:43Z</dcterms:modified>
</cp:coreProperties>
</file>